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15" windowWidth="14355" windowHeight="6495" firstSheet="35" activeTab="39"/>
  </bookViews>
  <sheets>
    <sheet name="План. расчет времени" sheetId="1" r:id="rId1"/>
    <sheet name="Тарифы" sheetId="2" r:id="rId2"/>
    <sheet name="ГАЗ 3307 фургон" sheetId="3" r:id="rId3"/>
    <sheet name="Пробег ГАЗ 3307 фургон" sheetId="4" r:id="rId4"/>
    <sheet name="ГАЗ 430100" sheetId="5" r:id="rId5"/>
    <sheet name="Пробег ГАЗ 430100" sheetId="6" r:id="rId6"/>
    <sheet name="УАЗ" sheetId="7" r:id="rId7"/>
    <sheet name="Пробег УАЗ" sheetId="8" r:id="rId8"/>
    <sheet name="Нива" sheetId="9" r:id="rId9"/>
    <sheet name="Пробег Нива" sheetId="10" r:id="rId10"/>
    <sheet name="МАЗ-5551" sheetId="11" r:id="rId11"/>
    <sheet name="Пробег МАЗ" sheetId="12" r:id="rId12"/>
    <sheet name="УРАЛ-5557" sheetId="13" r:id="rId13"/>
    <sheet name="Пробег Урал" sheetId="15" r:id="rId14"/>
    <sheet name="ГАЗ-3307 АСМ" sheetId="18" r:id="rId15"/>
    <sheet name="Пробег 3307 АСМ" sheetId="19" r:id="rId16"/>
    <sheet name="ГАЗ 3309" sheetId="20" r:id="rId17"/>
    <sheet name="Пробег 3309" sheetId="21" r:id="rId18"/>
    <sheet name="КО-502Б-2" sheetId="22" r:id="rId19"/>
    <sheet name="КО-502 +слесари" sheetId="23" r:id="rId20"/>
    <sheet name="Пробег КО-502Б-2" sheetId="24" r:id="rId21"/>
    <sheet name="Снегоуборочная" sheetId="25" r:id="rId22"/>
    <sheet name="Посыпка" sheetId="26" r:id="rId23"/>
    <sheet name="Расчистка снега" sheetId="27" r:id="rId24"/>
    <sheet name="Полив дневной " sheetId="28" r:id="rId25"/>
    <sheet name="Полив ночной" sheetId="29" r:id="rId26"/>
    <sheet name="Пробег КО-829" sheetId="30" r:id="rId27"/>
    <sheet name="Полив 1 бочка" sheetId="31" r:id="rId28"/>
    <sheet name="Плановый пробег" sheetId="33" r:id="rId29"/>
    <sheet name="ЭО 2626" sheetId="36" r:id="rId30"/>
    <sheet name="Пробег ЭО 2626" sheetId="37" r:id="rId31"/>
    <sheet name="МТЗ-80 с тележкой" sheetId="38" r:id="rId32"/>
    <sheet name="МТЗ-80 покос" sheetId="39" r:id="rId33"/>
    <sheet name="Пробег МТЗ-80" sheetId="40" r:id="rId34"/>
    <sheet name="Автогрейдер ДЗ-180" sheetId="41" r:id="rId35"/>
    <sheet name="Пробег ДЗ-180" sheetId="42" r:id="rId36"/>
    <sheet name="Т-25" sheetId="43" r:id="rId37"/>
    <sheet name="Пробег Т-25" sheetId="44" r:id="rId38"/>
    <sheet name="САГ" sheetId="45" r:id="rId39"/>
    <sheet name="Пробег САГ" sheetId="46" r:id="rId40"/>
    <sheet name="Лист1" sheetId="47" r:id="rId41"/>
  </sheets>
  <externalReferences>
    <externalReference r:id="rId42"/>
  </externalReferences>
  <calcPr calcId="145621"/>
</workbook>
</file>

<file path=xl/calcChain.xml><?xml version="1.0" encoding="utf-8"?>
<calcChain xmlns="http://schemas.openxmlformats.org/spreadsheetml/2006/main">
  <c r="F11" i="1" l="1"/>
  <c r="H9" i="25"/>
  <c r="I9" i="25"/>
  <c r="H16" i="29"/>
  <c r="H14" i="29"/>
  <c r="I14" i="29"/>
  <c r="H12" i="29"/>
  <c r="H9" i="29"/>
  <c r="E34" i="2"/>
  <c r="E33" i="2"/>
  <c r="D34" i="2"/>
  <c r="D33" i="2"/>
  <c r="H15" i="31"/>
  <c r="I15" i="31"/>
  <c r="H13" i="31"/>
  <c r="I13" i="31"/>
  <c r="I11" i="31"/>
  <c r="H9" i="31"/>
  <c r="I9" i="31"/>
  <c r="H10" i="29"/>
  <c r="I9" i="29"/>
  <c r="H9" i="28"/>
  <c r="H10" i="25"/>
  <c r="H46" i="30" l="1"/>
  <c r="F46" i="30"/>
  <c r="D46" i="30"/>
  <c r="H23" i="26"/>
  <c r="H25" i="26"/>
  <c r="B21" i="33"/>
  <c r="I16" i="29"/>
  <c r="I10" i="29"/>
  <c r="F29" i="39"/>
  <c r="F28" i="39"/>
  <c r="F27" i="39"/>
  <c r="F26" i="38"/>
  <c r="F26" i="43"/>
  <c r="F42" i="3"/>
  <c r="F24" i="7"/>
  <c r="F26" i="7"/>
  <c r="H14" i="25" l="1"/>
  <c r="I11" i="25" l="1"/>
  <c r="J11" i="25"/>
  <c r="K11" i="25"/>
  <c r="L11" i="25"/>
  <c r="M11" i="25"/>
  <c r="M12" i="25"/>
  <c r="L12" i="25"/>
  <c r="K12" i="25"/>
  <c r="J12" i="25"/>
  <c r="I12" i="25"/>
  <c r="B18" i="33"/>
  <c r="B8" i="33"/>
  <c r="E18" i="33"/>
  <c r="P12" i="25"/>
  <c r="F25" i="9" l="1"/>
  <c r="F25" i="10"/>
  <c r="E25" i="10"/>
  <c r="F27" i="9"/>
  <c r="F36" i="15"/>
  <c r="F37" i="15"/>
  <c r="F38" i="15"/>
  <c r="H26" i="13" s="1"/>
  <c r="F26" i="41"/>
  <c r="F10" i="3" l="1"/>
  <c r="F10" i="13" l="1"/>
  <c r="F37" i="3" l="1"/>
  <c r="F38" i="39"/>
  <c r="F14" i="3"/>
  <c r="F16" i="41" l="1"/>
  <c r="F12" i="41"/>
  <c r="I18" i="31"/>
  <c r="I27" i="31"/>
  <c r="H17" i="27"/>
  <c r="I14" i="26"/>
  <c r="Q9" i="25"/>
  <c r="P9" i="25"/>
  <c r="O9" i="25"/>
  <c r="N9" i="25"/>
  <c r="M9" i="25"/>
  <c r="L9" i="25"/>
  <c r="K9" i="25"/>
  <c r="J9" i="25"/>
  <c r="N24" i="25"/>
  <c r="N23" i="25"/>
  <c r="P23" i="25"/>
  <c r="O23" i="25"/>
  <c r="M23" i="25"/>
  <c r="E23" i="25"/>
  <c r="F28" i="23"/>
  <c r="F26" i="23"/>
  <c r="F24" i="23"/>
  <c r="F18" i="23"/>
  <c r="G63" i="1" l="1"/>
  <c r="C62" i="1" s="1"/>
  <c r="D57" i="1"/>
  <c r="A7" i="15" s="1"/>
  <c r="E31" i="1"/>
  <c r="E30" i="1"/>
  <c r="E29" i="1"/>
  <c r="E28" i="1"/>
  <c r="D32" i="1"/>
  <c r="C57" i="1" l="1"/>
  <c r="C58" i="1"/>
  <c r="C59" i="1"/>
  <c r="C60" i="1"/>
  <c r="C61" i="1"/>
  <c r="H22" i="1"/>
  <c r="C22" i="1" s="1"/>
  <c r="G31" i="1"/>
  <c r="C31" i="1" s="1"/>
  <c r="G24" i="1"/>
  <c r="C24" i="1" s="1"/>
  <c r="G32" i="1" l="1"/>
  <c r="C23" i="1"/>
  <c r="C30" i="1"/>
  <c r="C29" i="1"/>
  <c r="C28" i="1"/>
  <c r="C27" i="1"/>
  <c r="C26" i="1"/>
  <c r="C25" i="1"/>
  <c r="C22" i="46"/>
  <c r="C8" i="46"/>
  <c r="D22" i="46" s="1"/>
  <c r="E22" i="46" s="1"/>
  <c r="F21" i="45"/>
  <c r="F20" i="45"/>
  <c r="F19" i="45"/>
  <c r="F18" i="45"/>
  <c r="F22" i="45" s="1"/>
  <c r="F15" i="45"/>
  <c r="F25" i="45"/>
  <c r="C24" i="44"/>
  <c r="B3" i="44"/>
  <c r="D10" i="44" s="1"/>
  <c r="D24" i="44" s="1"/>
  <c r="E24" i="44" s="1"/>
  <c r="F35" i="43"/>
  <c r="H35" i="43" s="1"/>
  <c r="F34" i="43"/>
  <c r="H34" i="43" s="1"/>
  <c r="F33" i="43"/>
  <c r="H33" i="43" s="1"/>
  <c r="F32" i="43"/>
  <c r="F36" i="43" s="1"/>
  <c r="F29" i="43"/>
  <c r="H28" i="43"/>
  <c r="H26" i="43"/>
  <c r="F24" i="43"/>
  <c r="H24" i="43" s="1"/>
  <c r="H18" i="43"/>
  <c r="F16" i="43"/>
  <c r="H16" i="43" s="1"/>
  <c r="F14" i="43"/>
  <c r="H14" i="43" s="1"/>
  <c r="F12" i="43"/>
  <c r="F20" i="43" s="1"/>
  <c r="H10" i="43"/>
  <c r="C24" i="42"/>
  <c r="F35" i="41"/>
  <c r="F34" i="41"/>
  <c r="F33" i="41"/>
  <c r="F32" i="41"/>
  <c r="F36" i="41" s="1"/>
  <c r="F29" i="41"/>
  <c r="F14" i="41"/>
  <c r="F20" i="41" s="1"/>
  <c r="C25" i="40"/>
  <c r="B25" i="40"/>
  <c r="F40" i="39"/>
  <c r="F39" i="39"/>
  <c r="F37" i="39"/>
  <c r="F41" i="39" s="1"/>
  <c r="F34" i="39"/>
  <c r="F26" i="39"/>
  <c r="F16" i="39"/>
  <c r="F14" i="39"/>
  <c r="F12" i="39"/>
  <c r="F20" i="39" s="1"/>
  <c r="F35" i="38"/>
  <c r="F34" i="38"/>
  <c r="F33" i="38"/>
  <c r="F32" i="38"/>
  <c r="F36" i="38" s="1"/>
  <c r="F29" i="38"/>
  <c r="F16" i="38"/>
  <c r="F14" i="38"/>
  <c r="F12" i="38"/>
  <c r="F20" i="38" s="1"/>
  <c r="C25" i="37"/>
  <c r="B25" i="37"/>
  <c r="B3" i="37"/>
  <c r="D9" i="37" s="1"/>
  <c r="D25" i="37" s="1"/>
  <c r="F35" i="36"/>
  <c r="F34" i="36"/>
  <c r="F33" i="36"/>
  <c r="F32" i="36"/>
  <c r="F36" i="36" s="1"/>
  <c r="F29" i="36"/>
  <c r="F16" i="36"/>
  <c r="F14" i="36"/>
  <c r="F12" i="36"/>
  <c r="F20" i="36" s="1"/>
  <c r="F26" i="33"/>
  <c r="F18" i="33"/>
  <c r="D18" i="33"/>
  <c r="H18" i="33"/>
  <c r="I29" i="31"/>
  <c r="I23" i="31"/>
  <c r="H23" i="31"/>
  <c r="I22" i="31"/>
  <c r="H22" i="31"/>
  <c r="I21" i="31"/>
  <c r="H21" i="31"/>
  <c r="I20" i="31"/>
  <c r="I24" i="31" s="1"/>
  <c r="H20" i="31"/>
  <c r="H24" i="31" s="1"/>
  <c r="I31" i="31"/>
  <c r="H18" i="31"/>
  <c r="H28" i="30"/>
  <c r="D19" i="30"/>
  <c r="B19" i="30"/>
  <c r="I19" i="30" s="1"/>
  <c r="I24" i="29"/>
  <c r="H24" i="29"/>
  <c r="I23" i="29"/>
  <c r="H23" i="29"/>
  <c r="I22" i="29"/>
  <c r="H22" i="29"/>
  <c r="I21" i="29"/>
  <c r="I25" i="29" s="1"/>
  <c r="H21" i="29"/>
  <c r="H25" i="29" s="1"/>
  <c r="I19" i="29"/>
  <c r="H19" i="29"/>
  <c r="I24" i="28"/>
  <c r="H24" i="28"/>
  <c r="I23" i="28"/>
  <c r="H23" i="28"/>
  <c r="I22" i="28"/>
  <c r="H22" i="28"/>
  <c r="I21" i="28"/>
  <c r="I25" i="28" s="1"/>
  <c r="H21" i="28"/>
  <c r="H25" i="28" s="1"/>
  <c r="I19" i="28"/>
  <c r="H19" i="28"/>
  <c r="H37" i="27"/>
  <c r="H36" i="27"/>
  <c r="H27" i="27"/>
  <c r="H26" i="27"/>
  <c r="H25" i="27"/>
  <c r="H24" i="27"/>
  <c r="H28" i="27" s="1"/>
  <c r="H22" i="27"/>
  <c r="E21" i="27"/>
  <c r="I21" i="27" s="1"/>
  <c r="I20" i="27"/>
  <c r="I17" i="27"/>
  <c r="H15" i="27"/>
  <c r="I15" i="27" s="1"/>
  <c r="I11" i="27"/>
  <c r="H44" i="26"/>
  <c r="H43" i="26"/>
  <c r="H35" i="26"/>
  <c r="H34" i="26"/>
  <c r="H33" i="26"/>
  <c r="H32" i="26"/>
  <c r="H36" i="26" s="1"/>
  <c r="H30" i="26"/>
  <c r="E29" i="26"/>
  <c r="I29" i="26" s="1"/>
  <c r="I28" i="26"/>
  <c r="I25" i="26"/>
  <c r="I23" i="26"/>
  <c r="I19" i="26"/>
  <c r="I38" i="26" s="1"/>
  <c r="I15" i="26"/>
  <c r="I13" i="26"/>
  <c r="I12" i="26"/>
  <c r="Q27" i="25"/>
  <c r="P24" i="25"/>
  <c r="O24" i="25"/>
  <c r="M24" i="25"/>
  <c r="E24" i="25"/>
  <c r="Q24" i="25" s="1"/>
  <c r="P25" i="25"/>
  <c r="O25" i="25"/>
  <c r="N25" i="25"/>
  <c r="M25" i="25"/>
  <c r="Q23" i="25"/>
  <c r="Q25" i="25" s="1"/>
  <c r="P21" i="25"/>
  <c r="P27" i="25" s="1"/>
  <c r="O21" i="25"/>
  <c r="O27" i="25" s="1"/>
  <c r="N21" i="25"/>
  <c r="N27" i="25" s="1"/>
  <c r="M21" i="25"/>
  <c r="M27" i="25" s="1"/>
  <c r="Q19" i="25"/>
  <c r="P19" i="25"/>
  <c r="O19" i="25"/>
  <c r="N19" i="25"/>
  <c r="M19" i="25"/>
  <c r="L19" i="25"/>
  <c r="K19" i="25"/>
  <c r="J19" i="25"/>
  <c r="I19" i="25"/>
  <c r="H19" i="25"/>
  <c r="Q18" i="25"/>
  <c r="P18" i="25"/>
  <c r="O18" i="25"/>
  <c r="N18" i="25"/>
  <c r="M18" i="25"/>
  <c r="L18" i="25"/>
  <c r="K18" i="25"/>
  <c r="J18" i="25"/>
  <c r="I18" i="25"/>
  <c r="H18" i="25"/>
  <c r="Q17" i="25"/>
  <c r="P17" i="25"/>
  <c r="O17" i="25"/>
  <c r="N17" i="25"/>
  <c r="M17" i="25"/>
  <c r="L17" i="25"/>
  <c r="K17" i="25"/>
  <c r="J17" i="25"/>
  <c r="I17" i="25"/>
  <c r="H17" i="25"/>
  <c r="Q16" i="25"/>
  <c r="Q20" i="25" s="1"/>
  <c r="P16" i="25"/>
  <c r="P20" i="25" s="1"/>
  <c r="O16" i="25"/>
  <c r="O20" i="25" s="1"/>
  <c r="N16" i="25"/>
  <c r="N20" i="25" s="1"/>
  <c r="M16" i="25"/>
  <c r="M20" i="25" s="1"/>
  <c r="L16" i="25"/>
  <c r="L20" i="25" s="1"/>
  <c r="K16" i="25"/>
  <c r="K20" i="25" s="1"/>
  <c r="J16" i="25"/>
  <c r="J20" i="25" s="1"/>
  <c r="I16" i="25"/>
  <c r="I20" i="25" s="1"/>
  <c r="H16" i="25"/>
  <c r="H20" i="25" s="1"/>
  <c r="Q14" i="25"/>
  <c r="P14" i="25"/>
  <c r="O14" i="25"/>
  <c r="N14" i="25"/>
  <c r="M14" i="25"/>
  <c r="L14" i="25"/>
  <c r="K14" i="25"/>
  <c r="J14" i="25"/>
  <c r="I14" i="25"/>
  <c r="O12" i="25"/>
  <c r="N12" i="25"/>
  <c r="Q12" i="25" s="1"/>
  <c r="C25" i="24"/>
  <c r="B25" i="24"/>
  <c r="F42" i="23"/>
  <c r="F41" i="23"/>
  <c r="C43" i="23" s="1"/>
  <c r="G24" i="23"/>
  <c r="F16" i="23"/>
  <c r="G14" i="23"/>
  <c r="F14" i="23"/>
  <c r="F12" i="23"/>
  <c r="F32" i="22"/>
  <c r="F31" i="22"/>
  <c r="C33" i="22" s="1"/>
  <c r="F18" i="22"/>
  <c r="F16" i="22"/>
  <c r="G14" i="22"/>
  <c r="F14" i="22"/>
  <c r="F12" i="22"/>
  <c r="C25" i="21"/>
  <c r="B25" i="21"/>
  <c r="F32" i="20"/>
  <c r="F31" i="20"/>
  <c r="C33" i="20" s="1"/>
  <c r="F33" i="20" s="1"/>
  <c r="F18" i="20"/>
  <c r="F16" i="20"/>
  <c r="G14" i="20"/>
  <c r="F14" i="20"/>
  <c r="F12" i="20"/>
  <c r="F22" i="20" s="1"/>
  <c r="C24" i="19"/>
  <c r="F31" i="18"/>
  <c r="F30" i="18"/>
  <c r="C32" i="18" s="1"/>
  <c r="F18" i="18"/>
  <c r="F16" i="18"/>
  <c r="G14" i="18"/>
  <c r="F14" i="18"/>
  <c r="F12" i="18"/>
  <c r="F22" i="18" s="1"/>
  <c r="A18" i="15"/>
  <c r="A16" i="15"/>
  <c r="H35" i="13"/>
  <c r="H34" i="13"/>
  <c r="H33" i="13"/>
  <c r="H32" i="13"/>
  <c r="H36" i="13" s="1"/>
  <c r="H30" i="13"/>
  <c r="F28" i="13"/>
  <c r="F35" i="13" s="1"/>
  <c r="F26" i="13"/>
  <c r="H16" i="13"/>
  <c r="I14" i="13"/>
  <c r="H14" i="13"/>
  <c r="G14" i="13"/>
  <c r="H12" i="13"/>
  <c r="H20" i="13" s="1"/>
  <c r="C24" i="12"/>
  <c r="F30" i="11"/>
  <c r="F29" i="11"/>
  <c r="C31" i="11" s="1"/>
  <c r="F16" i="11"/>
  <c r="G14" i="11"/>
  <c r="F14" i="11"/>
  <c r="F12" i="11"/>
  <c r="F20" i="11" s="1"/>
  <c r="C25" i="10"/>
  <c r="B25" i="10"/>
  <c r="F29" i="9"/>
  <c r="F36" i="9" s="1"/>
  <c r="F17" i="9"/>
  <c r="F14" i="9"/>
  <c r="F12" i="9"/>
  <c r="F21" i="9" s="1"/>
  <c r="C25" i="8"/>
  <c r="B25" i="8"/>
  <c r="F28" i="7"/>
  <c r="F35" i="7" s="1"/>
  <c r="F16" i="7"/>
  <c r="F14" i="7"/>
  <c r="F12" i="7"/>
  <c r="F20" i="7" s="1"/>
  <c r="C24" i="6"/>
  <c r="F28" i="5"/>
  <c r="F35" i="5" s="1"/>
  <c r="F16" i="5"/>
  <c r="F14" i="5"/>
  <c r="F12" i="5"/>
  <c r="F20" i="5" s="1"/>
  <c r="C24" i="4"/>
  <c r="F32" i="23" l="1"/>
  <c r="C32" i="1"/>
  <c r="I19" i="27"/>
  <c r="I27" i="26"/>
  <c r="F22" i="22"/>
  <c r="F22" i="46"/>
  <c r="F29" i="45"/>
  <c r="F33" i="45" s="1"/>
  <c r="E40" i="2" s="1"/>
  <c r="F28" i="45"/>
  <c r="F32" i="45" s="1"/>
  <c r="D40" i="2" s="1"/>
  <c r="F24" i="44"/>
  <c r="F38" i="43"/>
  <c r="H38" i="43" s="1"/>
  <c r="F22" i="43"/>
  <c r="H22" i="43" s="1"/>
  <c r="H20" i="43"/>
  <c r="H12" i="43"/>
  <c r="H32" i="43"/>
  <c r="H36" i="43" s="1"/>
  <c r="F38" i="41"/>
  <c r="F22" i="41"/>
  <c r="F40" i="41" s="1"/>
  <c r="F43" i="39"/>
  <c r="F22" i="39"/>
  <c r="F45" i="39" s="1"/>
  <c r="F38" i="38"/>
  <c r="F22" i="38"/>
  <c r="F40" i="38" s="1"/>
  <c r="D50" i="25" s="1"/>
  <c r="J50" i="25" s="1"/>
  <c r="E25" i="37"/>
  <c r="F25" i="37"/>
  <c r="F38" i="36"/>
  <c r="F22" i="36"/>
  <c r="F40" i="36" s="1"/>
  <c r="I35" i="31"/>
  <c r="I37" i="31" s="1"/>
  <c r="I34" i="31"/>
  <c r="I36" i="31" s="1"/>
  <c r="H11" i="31"/>
  <c r="H29" i="31"/>
  <c r="I12" i="29"/>
  <c r="I29" i="29" s="1"/>
  <c r="H27" i="29"/>
  <c r="H12" i="28"/>
  <c r="I12" i="28"/>
  <c r="I29" i="28" s="1"/>
  <c r="H27" i="28"/>
  <c r="I27" i="27"/>
  <c r="I26" i="27"/>
  <c r="I25" i="27"/>
  <c r="I24" i="27"/>
  <c r="I28" i="27" s="1"/>
  <c r="I22" i="27"/>
  <c r="I13" i="27"/>
  <c r="I31" i="27"/>
  <c r="I35" i="26"/>
  <c r="I34" i="26"/>
  <c r="I33" i="26"/>
  <c r="I32" i="26"/>
  <c r="I36" i="26" s="1"/>
  <c r="I30" i="26"/>
  <c r="I21" i="26"/>
  <c r="H29" i="25"/>
  <c r="I29" i="25"/>
  <c r="J29" i="25"/>
  <c r="K29" i="25"/>
  <c r="L29" i="25"/>
  <c r="M29" i="25"/>
  <c r="N29" i="25"/>
  <c r="O29" i="25"/>
  <c r="P29" i="25"/>
  <c r="Q29" i="25"/>
  <c r="I10" i="25"/>
  <c r="J10" i="25"/>
  <c r="K10" i="25"/>
  <c r="L10" i="25"/>
  <c r="M10" i="25"/>
  <c r="N10" i="25"/>
  <c r="O10" i="25"/>
  <c r="P10" i="25"/>
  <c r="Q10" i="25"/>
  <c r="F52" i="23"/>
  <c r="F34" i="23"/>
  <c r="F49" i="23"/>
  <c r="F48" i="23"/>
  <c r="F47" i="23"/>
  <c r="F46" i="23"/>
  <c r="F50" i="23" s="1"/>
  <c r="F43" i="23"/>
  <c r="F42" i="22"/>
  <c r="F24" i="22"/>
  <c r="F39" i="22"/>
  <c r="F38" i="22"/>
  <c r="F37" i="22"/>
  <c r="F36" i="22"/>
  <c r="F40" i="22" s="1"/>
  <c r="F33" i="22"/>
  <c r="F42" i="20"/>
  <c r="F24" i="20"/>
  <c r="F39" i="20"/>
  <c r="F38" i="20"/>
  <c r="F37" i="20"/>
  <c r="F36" i="20"/>
  <c r="F40" i="20" s="1"/>
  <c r="F41" i="18"/>
  <c r="F24" i="18"/>
  <c r="F38" i="18"/>
  <c r="F37" i="18"/>
  <c r="F36" i="18"/>
  <c r="F35" i="18"/>
  <c r="F39" i="18" s="1"/>
  <c r="F32" i="18"/>
  <c r="H37" i="13"/>
  <c r="H22" i="13"/>
  <c r="H39" i="13" s="1"/>
  <c r="F12" i="13"/>
  <c r="F14" i="13"/>
  <c r="F16" i="13"/>
  <c r="F30" i="13"/>
  <c r="F32" i="13"/>
  <c r="F33" i="13"/>
  <c r="F34" i="13"/>
  <c r="F40" i="11"/>
  <c r="F22" i="11"/>
  <c r="F37" i="11"/>
  <c r="F36" i="11"/>
  <c r="F35" i="11"/>
  <c r="F34" i="11"/>
  <c r="F38" i="11" s="1"/>
  <c r="F31" i="11"/>
  <c r="F39" i="9"/>
  <c r="F23" i="9"/>
  <c r="C30" i="9"/>
  <c r="F30" i="9"/>
  <c r="F33" i="9"/>
  <c r="F34" i="9"/>
  <c r="F35" i="9"/>
  <c r="F38" i="7"/>
  <c r="F22" i="7"/>
  <c r="C29" i="7"/>
  <c r="F29" i="7"/>
  <c r="F32" i="7"/>
  <c r="F33" i="7"/>
  <c r="F34" i="7"/>
  <c r="F38" i="5"/>
  <c r="F22" i="5"/>
  <c r="C29" i="5"/>
  <c r="F29" i="5"/>
  <c r="F32" i="5"/>
  <c r="F33" i="5"/>
  <c r="F34" i="5"/>
  <c r="F6" i="1"/>
  <c r="F8" i="1"/>
  <c r="E57" i="1" s="1"/>
  <c r="A5" i="15" s="1"/>
  <c r="E10" i="26" l="1"/>
  <c r="I10" i="26" s="1"/>
  <c r="I17" i="26" s="1"/>
  <c r="I40" i="26" s="1"/>
  <c r="E28" i="25"/>
  <c r="H29" i="28"/>
  <c r="I33" i="27"/>
  <c r="F54" i="23"/>
  <c r="F44" i="22"/>
  <c r="F43" i="18"/>
  <c r="F20" i="13"/>
  <c r="F42" i="11"/>
  <c r="H31" i="31"/>
  <c r="H40" i="43"/>
  <c r="F40" i="43"/>
  <c r="F44" i="41"/>
  <c r="F48" i="41" s="1"/>
  <c r="E41" i="2" s="1"/>
  <c r="F43" i="41"/>
  <c r="F47" i="41" s="1"/>
  <c r="D41" i="2" s="1"/>
  <c r="F49" i="39"/>
  <c r="F53" i="39" s="1"/>
  <c r="E38" i="2" s="1"/>
  <c r="F48" i="39"/>
  <c r="F52" i="39" s="1"/>
  <c r="D38" i="2" s="1"/>
  <c r="F44" i="38"/>
  <c r="F48" i="38" s="1"/>
  <c r="E37" i="2" s="1"/>
  <c r="F43" i="38"/>
  <c r="F47" i="38" s="1"/>
  <c r="D37" i="2" s="1"/>
  <c r="F44" i="36"/>
  <c r="F48" i="36" s="1"/>
  <c r="E39" i="2" s="1"/>
  <c r="F43" i="36"/>
  <c r="F47" i="36" s="1"/>
  <c r="D39" i="2" s="1"/>
  <c r="H35" i="31"/>
  <c r="H37" i="31" s="1"/>
  <c r="H34" i="31"/>
  <c r="H36" i="31" s="1"/>
  <c r="I33" i="29"/>
  <c r="I35" i="29" s="1"/>
  <c r="E36" i="2" s="1"/>
  <c r="I32" i="29"/>
  <c r="I34" i="29" s="1"/>
  <c r="D36" i="2" s="1"/>
  <c r="I33" i="28"/>
  <c r="I35" i="28" s="1"/>
  <c r="I32" i="28"/>
  <c r="I34" i="28" s="1"/>
  <c r="H33" i="28"/>
  <c r="H35" i="28" s="1"/>
  <c r="H32" i="28"/>
  <c r="H34" i="28" s="1"/>
  <c r="I37" i="27"/>
  <c r="I40" i="27" s="1"/>
  <c r="I36" i="27"/>
  <c r="I39" i="27" s="1"/>
  <c r="F58" i="23"/>
  <c r="F62" i="23" s="1"/>
  <c r="E19" i="2" s="1"/>
  <c r="F57" i="23"/>
  <c r="F61" i="23" s="1"/>
  <c r="D19" i="2" s="1"/>
  <c r="F48" i="22"/>
  <c r="F52" i="22" s="1"/>
  <c r="E20" i="2" s="1"/>
  <c r="F47" i="22"/>
  <c r="F51" i="22" s="1"/>
  <c r="D20" i="2" s="1"/>
  <c r="F47" i="18"/>
  <c r="F51" i="18" s="1"/>
  <c r="E17" i="2" s="1"/>
  <c r="F46" i="18"/>
  <c r="F50" i="18" s="1"/>
  <c r="D17" i="2" s="1"/>
  <c r="F37" i="13"/>
  <c r="F22" i="13"/>
  <c r="H43" i="13"/>
  <c r="H46" i="13" s="1"/>
  <c r="E16" i="2" s="1"/>
  <c r="H42" i="13"/>
  <c r="H45" i="13" s="1"/>
  <c r="D16" i="2" s="1"/>
  <c r="F36" i="13"/>
  <c r="F46" i="11"/>
  <c r="F50" i="11" s="1"/>
  <c r="E13" i="2" s="1"/>
  <c r="F45" i="11"/>
  <c r="F49" i="11" s="1"/>
  <c r="D13" i="2" s="1"/>
  <c r="F37" i="9"/>
  <c r="F41" i="9" s="1"/>
  <c r="F36" i="7"/>
  <c r="F40" i="7" s="1"/>
  <c r="F36" i="5"/>
  <c r="F40" i="5" s="1"/>
  <c r="I44" i="26" l="1"/>
  <c r="I47" i="26" s="1"/>
  <c r="I43" i="26"/>
  <c r="I46" i="26" s="1"/>
  <c r="Q28" i="25"/>
  <c r="M28" i="25"/>
  <c r="N28" i="25"/>
  <c r="O28" i="25"/>
  <c r="P28" i="25"/>
  <c r="F39" i="13"/>
  <c r="F44" i="43"/>
  <c r="F48" i="43" s="1"/>
  <c r="F43" i="43"/>
  <c r="F47" i="43" s="1"/>
  <c r="H44" i="43"/>
  <c r="H48" i="43" s="1"/>
  <c r="H43" i="43"/>
  <c r="H47" i="43" s="1"/>
  <c r="F43" i="13"/>
  <c r="F46" i="13" s="1"/>
  <c r="E15" i="2" s="1"/>
  <c r="F42" i="13"/>
  <c r="F45" i="13" s="1"/>
  <c r="D15" i="2" s="1"/>
  <c r="F45" i="9"/>
  <c r="F49" i="9" s="1"/>
  <c r="E12" i="2" s="1"/>
  <c r="F44" i="9"/>
  <c r="F48" i="9" s="1"/>
  <c r="D12" i="2" s="1"/>
  <c r="F44" i="7"/>
  <c r="F48" i="7" s="1"/>
  <c r="E11" i="2" s="1"/>
  <c r="F43" i="7"/>
  <c r="F47" i="7" s="1"/>
  <c r="D11" i="2" s="1"/>
  <c r="F44" i="5"/>
  <c r="F48" i="5" s="1"/>
  <c r="E10" i="2" s="1"/>
  <c r="F43" i="5"/>
  <c r="F47" i="5" s="1"/>
  <c r="D10" i="2" s="1"/>
  <c r="F30" i="3"/>
  <c r="F18" i="3"/>
  <c r="F16" i="3"/>
  <c r="F12" i="3"/>
  <c r="G42" i="2"/>
  <c r="G41" i="2"/>
  <c r="G40" i="2"/>
  <c r="G39" i="2"/>
  <c r="G38" i="2"/>
  <c r="G37" i="2"/>
  <c r="G36" i="2"/>
  <c r="G34" i="2"/>
  <c r="G33" i="2"/>
  <c r="G20" i="2"/>
  <c r="G19" i="2"/>
  <c r="G17" i="2"/>
  <c r="G16" i="2"/>
  <c r="G15" i="2"/>
  <c r="G13" i="2"/>
  <c r="G12" i="2"/>
  <c r="G11" i="2"/>
  <c r="G10" i="2"/>
  <c r="C73" i="1"/>
  <c r="C63" i="1"/>
  <c r="C50" i="1"/>
  <c r="E27" i="1"/>
  <c r="E32" i="1" s="1"/>
  <c r="F22" i="1" s="1"/>
  <c r="F62" i="1"/>
  <c r="F22" i="3" l="1"/>
  <c r="F23" i="1"/>
  <c r="B3" i="6" s="1"/>
  <c r="D10" i="6" s="1"/>
  <c r="D24" i="6" s="1"/>
  <c r="F24" i="1"/>
  <c r="B3" i="8" s="1"/>
  <c r="D9" i="8" s="1"/>
  <c r="D25" i="8" s="1"/>
  <c r="F25" i="1"/>
  <c r="B3" i="10" s="1"/>
  <c r="D9" i="10" s="1"/>
  <c r="D25" i="10" s="1"/>
  <c r="F26" i="1"/>
  <c r="B3" i="12" s="1"/>
  <c r="D10" i="12" s="1"/>
  <c r="D24" i="12" s="1"/>
  <c r="F27" i="1"/>
  <c r="F28" i="1"/>
  <c r="B3" i="19" s="1"/>
  <c r="D10" i="19" s="1"/>
  <c r="D24" i="19" s="1"/>
  <c r="F29" i="1"/>
  <c r="D9" i="21" s="1"/>
  <c r="D25" i="21" s="1"/>
  <c r="F30" i="1"/>
  <c r="B3" i="24" s="1"/>
  <c r="D9" i="24" s="1"/>
  <c r="D25" i="24" s="1"/>
  <c r="F31" i="1"/>
  <c r="F32" i="1"/>
  <c r="F24" i="3"/>
  <c r="F40" i="3"/>
  <c r="C31" i="3"/>
  <c r="F31" i="3"/>
  <c r="F34" i="3"/>
  <c r="F35" i="3"/>
  <c r="F36" i="3"/>
  <c r="C11" i="1"/>
  <c r="C13" i="1"/>
  <c r="F13" i="1" s="1"/>
  <c r="F58" i="1"/>
  <c r="E59" i="1"/>
  <c r="F59" i="1" s="1"/>
  <c r="E60" i="1"/>
  <c r="F60" i="1" s="1"/>
  <c r="D70" i="1" s="1"/>
  <c r="E61" i="1"/>
  <c r="F61" i="1" s="1"/>
  <c r="D13" i="33" l="1"/>
  <c r="B19" i="33" s="1"/>
  <c r="B7" i="30"/>
  <c r="D12" i="30" s="1"/>
  <c r="E25" i="24"/>
  <c r="F25" i="24"/>
  <c r="E25" i="21"/>
  <c r="F26" i="20" s="1"/>
  <c r="F25" i="21"/>
  <c r="E24" i="19"/>
  <c r="F24" i="19"/>
  <c r="E24" i="12"/>
  <c r="F24" i="12"/>
  <c r="E25" i="8"/>
  <c r="F25" i="8"/>
  <c r="E24" i="6"/>
  <c r="F24" i="6"/>
  <c r="D43" i="1"/>
  <c r="E43" i="1" s="1"/>
  <c r="D71" i="1"/>
  <c r="E71" i="1" s="1"/>
  <c r="B3" i="42"/>
  <c r="D10" i="42" s="1"/>
  <c r="D24" i="42" s="1"/>
  <c r="E70" i="1"/>
  <c r="B3" i="40"/>
  <c r="D9" i="40" s="1"/>
  <c r="D25" i="40" s="1"/>
  <c r="F38" i="3"/>
  <c r="D69" i="1"/>
  <c r="E63" i="1"/>
  <c r="F57" i="1"/>
  <c r="A3" i="15" s="1"/>
  <c r="F44" i="20" l="1"/>
  <c r="H20" i="30"/>
  <c r="G20" i="30"/>
  <c r="F20" i="30"/>
  <c r="E20" i="30"/>
  <c r="D20" i="30"/>
  <c r="C20" i="30"/>
  <c r="B20" i="30"/>
  <c r="G19" i="33"/>
  <c r="G21" i="33" s="1"/>
  <c r="F19" i="33"/>
  <c r="F21" i="33" s="1"/>
  <c r="E19" i="33"/>
  <c r="E21" i="33" s="1"/>
  <c r="D19" i="33"/>
  <c r="D21" i="33" s="1"/>
  <c r="C19" i="33"/>
  <c r="C21" i="33" s="1"/>
  <c r="D7" i="15"/>
  <c r="D5" i="15"/>
  <c r="E25" i="40"/>
  <c r="F25" i="40"/>
  <c r="E24" i="42"/>
  <c r="F24" i="42"/>
  <c r="F46" i="3"/>
  <c r="F50" i="3" s="1"/>
  <c r="E9" i="2" s="1"/>
  <c r="F45" i="3"/>
  <c r="F49" i="3" s="1"/>
  <c r="D9" i="2" s="1"/>
  <c r="G9" i="2" s="1"/>
  <c r="D72" i="1"/>
  <c r="E72" i="1" s="1"/>
  <c r="F63" i="1"/>
  <c r="D73" i="1"/>
  <c r="E69" i="1"/>
  <c r="B3" i="4"/>
  <c r="D10" i="4" s="1"/>
  <c r="D24" i="4" s="1"/>
  <c r="F24" i="4" s="1"/>
  <c r="F48" i="20" l="1"/>
  <c r="F51" i="20" s="1"/>
  <c r="E18" i="2" s="1"/>
  <c r="F47" i="20"/>
  <c r="F50" i="20" s="1"/>
  <c r="D18" i="2" s="1"/>
  <c r="G18" i="2" s="1"/>
  <c r="H19" i="33"/>
  <c r="D40" i="33"/>
  <c r="D41" i="33"/>
  <c r="D42" i="33"/>
  <c r="D43" i="33"/>
  <c r="D44" i="33"/>
  <c r="B22" i="30"/>
  <c r="I20" i="30"/>
  <c r="B24" i="30" s="1"/>
  <c r="C24" i="30"/>
  <c r="C22" i="30"/>
  <c r="D42" i="30" s="1"/>
  <c r="D24" i="30"/>
  <c r="D22" i="30"/>
  <c r="D43" i="30" s="1"/>
  <c r="E24" i="30"/>
  <c r="E22" i="30"/>
  <c r="D44" i="30" s="1"/>
  <c r="F24" i="30"/>
  <c r="F22" i="30"/>
  <c r="D45" i="30" s="1"/>
  <c r="G24" i="30"/>
  <c r="G23" i="30"/>
  <c r="E47" i="30" s="1"/>
  <c r="H24" i="30"/>
  <c r="H22" i="30"/>
  <c r="C37" i="15"/>
  <c r="C16" i="15"/>
  <c r="E20" i="15" s="1"/>
  <c r="D37" i="15" s="1"/>
  <c r="E37" i="15" s="1"/>
  <c r="C36" i="15"/>
  <c r="C18" i="15"/>
  <c r="E22" i="15" s="1"/>
  <c r="D36" i="15" s="1"/>
  <c r="E24" i="4"/>
  <c r="D49" i="1"/>
  <c r="E49" i="1"/>
  <c r="D45" i="1"/>
  <c r="E45" i="1" s="1"/>
  <c r="D47" i="1"/>
  <c r="E47" i="1" s="1"/>
  <c r="D48" i="1"/>
  <c r="E48" i="1" s="1"/>
  <c r="D46" i="1"/>
  <c r="E46" i="1" s="1"/>
  <c r="D44" i="1"/>
  <c r="E44" i="1" s="1"/>
  <c r="C46" i="30" l="1"/>
  <c r="B46" i="30"/>
  <c r="C47" i="30"/>
  <c r="I47" i="30" s="1"/>
  <c r="B47" i="30"/>
  <c r="G47" i="30" s="1"/>
  <c r="C45" i="30"/>
  <c r="H45" i="30" s="1"/>
  <c r="B45" i="30"/>
  <c r="F45" i="30" s="1"/>
  <c r="C44" i="30"/>
  <c r="H44" i="30" s="1"/>
  <c r="B44" i="30"/>
  <c r="F44" i="30" s="1"/>
  <c r="C43" i="30"/>
  <c r="H43" i="30" s="1"/>
  <c r="B43" i="30"/>
  <c r="F43" i="30" s="1"/>
  <c r="C42" i="30"/>
  <c r="H42" i="30" s="1"/>
  <c r="B42" i="30"/>
  <c r="F42" i="30" s="1"/>
  <c r="C41" i="30"/>
  <c r="I24" i="30"/>
  <c r="B41" i="30"/>
  <c r="D41" i="30"/>
  <c r="D48" i="30" s="1"/>
  <c r="I22" i="30"/>
  <c r="D39" i="33"/>
  <c r="D45" i="33" s="1"/>
  <c r="H21" i="33"/>
  <c r="B22" i="33"/>
  <c r="B39" i="33" s="1"/>
  <c r="D38" i="15"/>
  <c r="E36" i="15"/>
  <c r="C38" i="15"/>
  <c r="D50" i="1"/>
  <c r="C39" i="33" l="1"/>
  <c r="F39" i="33" s="1"/>
  <c r="H22" i="33"/>
  <c r="C22" i="33"/>
  <c r="D22" i="33"/>
  <c r="E22" i="33"/>
  <c r="F22" i="33"/>
  <c r="G22" i="33"/>
  <c r="B48" i="30"/>
  <c r="F41" i="30"/>
  <c r="C48" i="30"/>
  <c r="H41" i="30"/>
  <c r="C44" i="33" l="1"/>
  <c r="F44" i="33" s="1"/>
  <c r="B44" i="33"/>
  <c r="E44" i="33" s="1"/>
  <c r="C43" i="33"/>
  <c r="F43" i="33" s="1"/>
  <c r="B43" i="33"/>
  <c r="E43" i="33" s="1"/>
  <c r="L30" i="25" s="1"/>
  <c r="C42" i="33"/>
  <c r="F42" i="33" s="1"/>
  <c r="B42" i="33"/>
  <c r="E42" i="33" s="1"/>
  <c r="J30" i="25" s="1"/>
  <c r="C41" i="33"/>
  <c r="F41" i="33" s="1"/>
  <c r="B41" i="33"/>
  <c r="C40" i="33"/>
  <c r="F40" i="33" s="1"/>
  <c r="B40" i="33"/>
  <c r="E40" i="33" s="1"/>
  <c r="K30" i="25" s="1"/>
  <c r="B45" i="33"/>
  <c r="E45" i="33" s="1"/>
  <c r="E39" i="33"/>
  <c r="I30" i="25" s="1"/>
  <c r="C45" i="33"/>
  <c r="F45" i="33" s="1"/>
  <c r="E41" i="33" l="1"/>
  <c r="I33" i="25"/>
  <c r="I37" i="25" s="1"/>
  <c r="E23" i="2" s="1"/>
  <c r="I32" i="25"/>
  <c r="I36" i="25" s="1"/>
  <c r="D23" i="2" s="1"/>
  <c r="G23" i="2" s="1"/>
  <c r="K33" i="25"/>
  <c r="K37" i="25" s="1"/>
  <c r="E25" i="2" s="1"/>
  <c r="K32" i="25"/>
  <c r="K36" i="25" s="1"/>
  <c r="D25" i="2" s="1"/>
  <c r="G25" i="2" s="1"/>
  <c r="J33" i="25"/>
  <c r="J37" i="25" s="1"/>
  <c r="E24" i="2" s="1"/>
  <c r="J32" i="25"/>
  <c r="J36" i="25" s="1"/>
  <c r="D24" i="2" s="1"/>
  <c r="L33" i="25"/>
  <c r="L37" i="25" s="1"/>
  <c r="E26" i="2" s="1"/>
  <c r="L32" i="25"/>
  <c r="L36" i="25" s="1"/>
  <c r="D26" i="2" s="1"/>
  <c r="H29" i="29"/>
  <c r="H30" i="25"/>
  <c r="P11" i="25" l="1"/>
  <c r="P30" i="25" s="1"/>
  <c r="N11" i="25"/>
  <c r="O11" i="25"/>
  <c r="O30" i="25" s="1"/>
  <c r="M30" i="25"/>
  <c r="H33" i="25"/>
  <c r="H37" i="25" s="1"/>
  <c r="E22" i="2" s="1"/>
  <c r="H32" i="25"/>
  <c r="H36" i="25" s="1"/>
  <c r="D22" i="2" s="1"/>
  <c r="G22" i="2" s="1"/>
  <c r="H33" i="29"/>
  <c r="H35" i="29" s="1"/>
  <c r="E35" i="2" s="1"/>
  <c r="H32" i="29"/>
  <c r="H34" i="29" s="1"/>
  <c r="D35" i="2" s="1"/>
  <c r="G35" i="2" s="1"/>
  <c r="M33" i="25"/>
  <c r="M37" i="25" s="1"/>
  <c r="E28" i="2" s="1"/>
  <c r="M32" i="25"/>
  <c r="M36" i="25" s="1"/>
  <c r="D28" i="2" s="1"/>
  <c r="G28" i="2" s="1"/>
  <c r="O33" i="25"/>
  <c r="O37" i="25" s="1"/>
  <c r="E30" i="2" s="1"/>
  <c r="O32" i="25"/>
  <c r="O36" i="25" s="1"/>
  <c r="D30" i="2" s="1"/>
  <c r="G30" i="2" s="1"/>
  <c r="Q11" i="25"/>
  <c r="Q30" i="25" s="1"/>
  <c r="N30" i="25"/>
  <c r="P33" i="25"/>
  <c r="P37" i="25" s="1"/>
  <c r="E31" i="2" s="1"/>
  <c r="P32" i="25"/>
  <c r="P36" i="25" s="1"/>
  <c r="D31" i="2" s="1"/>
  <c r="G31" i="2" s="1"/>
  <c r="N33" i="25" l="1"/>
  <c r="N37" i="25" s="1"/>
  <c r="E29" i="2" s="1"/>
  <c r="N32" i="25"/>
  <c r="N36" i="25" s="1"/>
  <c r="D29" i="2" s="1"/>
  <c r="G29" i="2" s="1"/>
  <c r="Q33" i="25"/>
  <c r="Q37" i="25" s="1"/>
  <c r="E32" i="2" s="1"/>
  <c r="Q32" i="25"/>
  <c r="Q36" i="25" s="1"/>
  <c r="D32" i="2" s="1"/>
  <c r="G32" i="2" s="1"/>
</calcChain>
</file>

<file path=xl/sharedStrings.xml><?xml version="1.0" encoding="utf-8"?>
<sst xmlns="http://schemas.openxmlformats.org/spreadsheetml/2006/main" count="2281" uniqueCount="456">
  <si>
    <t xml:space="preserve">2) В штатном расписании МУП ТВК "Кавказский" для обслуживания вышеуказанной техники предусмотрено 6 водителей и 3 машиниста. </t>
  </si>
  <si>
    <t xml:space="preserve">3) При стопроцентной загруженности водителей общее количество часов работы транспорта составит: </t>
  </si>
  <si>
    <t>авто/час.</t>
  </si>
  <si>
    <t xml:space="preserve">    При стопроцентной загруженности машинистов общее количество часов работы транспорта составит: </t>
  </si>
  <si>
    <t>мото/час.</t>
  </si>
  <si>
    <t>4) Среднее количество авто/часов 1 единицы техники составит</t>
  </si>
  <si>
    <t>авто/час :</t>
  </si>
  <si>
    <t>авто/час</t>
  </si>
  <si>
    <t xml:space="preserve">    Среднее количество мото/часов 1 единицы техники составит</t>
  </si>
  <si>
    <t xml:space="preserve">8 единиц   = </t>
  </si>
  <si>
    <t xml:space="preserve">5) Эксплуатация транспорта в целях производственной необходимости используется неравномерно </t>
  </si>
  <si>
    <t xml:space="preserve">Согласно отчетности подразделения "гараж и мастерские" загруженность авто/техники </t>
  </si>
  <si>
    <t>представлена в табл. 1</t>
  </si>
  <si>
    <t>Таблица 1</t>
  </si>
  <si>
    <t>№ п/п</t>
  </si>
  <si>
    <t>Наименование транспорта, используемого в процессе деятельности предприятия</t>
  </si>
  <si>
    <t>Расчетные данные</t>
  </si>
  <si>
    <t>Годовое время работы 1 ед. транспорта, час.</t>
  </si>
  <si>
    <t xml:space="preserve">соотношение пробега ед-цы транспорта к общему пробегу, % </t>
  </si>
  <si>
    <t>количество бочек, приходящихся на ед. техники, шт.</t>
  </si>
  <si>
    <t>**Время, приходящееся на работу оборудования, час.</t>
  </si>
  <si>
    <t>ГАЗ-3307 фургон</t>
  </si>
  <si>
    <t>ГАЗ 430100 дорожная служба</t>
  </si>
  <si>
    <t>УАЗ-390944</t>
  </si>
  <si>
    <t>ВАЗ-213100 "Нива"</t>
  </si>
  <si>
    <t>МАЗ самосвал</t>
  </si>
  <si>
    <t>ГАЗ – 53 АСМ</t>
  </si>
  <si>
    <t>ГАЗ – 3307 АСМ</t>
  </si>
  <si>
    <t>ГАЗ – 3309 КО-503В-2 (вакуумная)</t>
  </si>
  <si>
    <t>ЗИЛ-433362 КО-502Б-2 (для очистки канализационных сетей</t>
  </si>
  <si>
    <t>Х</t>
  </si>
  <si>
    <t>ИТОГО</t>
  </si>
  <si>
    <t>Таблица 2</t>
  </si>
  <si>
    <t>Вид транспорта, используемого в процессе деятельности предприятия</t>
  </si>
  <si>
    <t>Количество единиц транспорта</t>
  </si>
  <si>
    <t>Время, приходящееся на пробег транспорта, час.</t>
  </si>
  <si>
    <t>Фургон</t>
  </si>
  <si>
    <t>Ассенизаторская машина</t>
  </si>
  <si>
    <t>ЗИЛ - 433362 КО-829А</t>
  </si>
  <si>
    <t xml:space="preserve">Согласно отчетности подразделения "гараж и мастерские" загруженность мото/техники </t>
  </si>
  <si>
    <t>представлена в табл. 2</t>
  </si>
  <si>
    <t>Таблица 3</t>
  </si>
  <si>
    <t xml:space="preserve">соотношение работы ед-цы транспорта к общему времени работы % </t>
  </si>
  <si>
    <t>количество часов, приходящееся на пробег техники, час.*</t>
  </si>
  <si>
    <t>Время, приходящееся на работу оборудования, час.</t>
  </si>
  <si>
    <t>Автокран УРАЛ - 5557</t>
  </si>
  <si>
    <t>Экскаватор ЮМЗ-2621</t>
  </si>
  <si>
    <t>Экскаватор ЭО-2626 на базе трактора МТЗ-82</t>
  </si>
  <si>
    <t>Трактор МТЗ-80 с тракторной тележкой 2-ПТС4</t>
  </si>
  <si>
    <t>Автогрейдер ДЗ-180</t>
  </si>
  <si>
    <t>Трактор Т-25</t>
  </si>
  <si>
    <t>Таблица 4</t>
  </si>
  <si>
    <t>Экскаваторы</t>
  </si>
  <si>
    <t>Трактора</t>
  </si>
  <si>
    <t>Автогрейдер</t>
  </si>
  <si>
    <t>Автокран</t>
  </si>
  <si>
    <t>Экономист</t>
  </si>
  <si>
    <t>(86193) 22-3-20</t>
  </si>
  <si>
    <t>Левшунова А.Н.</t>
  </si>
  <si>
    <t>** норма расхода времени на закачку и выкачку 1 бочки - 30 мин.</t>
  </si>
  <si>
    <t>УТВЕРЖДАЮ</t>
  </si>
  <si>
    <t>Директор МУП ТВК "Кавказский"</t>
  </si>
  <si>
    <t>ЦЕНЫ (ТАРИФЫ) на услуги автотранспорта и специального транспорта,</t>
  </si>
  <si>
    <t>Вид транспорта</t>
  </si>
  <si>
    <t>Ед.изм.</t>
  </si>
  <si>
    <t>Для населения и бюджетных организаций</t>
  </si>
  <si>
    <t>Для прочих потребителей</t>
  </si>
  <si>
    <t>рост %</t>
  </si>
  <si>
    <t>Всего</t>
  </si>
  <si>
    <t>руб./час</t>
  </si>
  <si>
    <t>перегон</t>
  </si>
  <si>
    <t>руб./км</t>
  </si>
  <si>
    <t>работа оборудования</t>
  </si>
  <si>
    <t>ЗИЛ-433362 КО-502Б-2 (для очистки канализационных сетей)вкл. слесарей</t>
  </si>
  <si>
    <t>ЗИЛ-433362 КО-502Б-2 (для очистки канализационных сетей)без слесарей</t>
  </si>
  <si>
    <t>руб/час</t>
  </si>
  <si>
    <t>КО-829А на базе ЗИЛ-433362</t>
  </si>
  <si>
    <t>- пробег</t>
  </si>
  <si>
    <t>руб/км</t>
  </si>
  <si>
    <t>- работа плугом</t>
  </si>
  <si>
    <t>- работа щеткой</t>
  </si>
  <si>
    <t>- работа плугом и щеткой</t>
  </si>
  <si>
    <t>- работа поливомоечного оборудования</t>
  </si>
  <si>
    <t>- работа разбрасывающего оборудования при нормах:</t>
  </si>
  <si>
    <t xml:space="preserve">     120 гр. ПСС (75/25)</t>
  </si>
  <si>
    <t>руб/1000м²</t>
  </si>
  <si>
    <t xml:space="preserve">     120 гр. ПСС (50/50)</t>
  </si>
  <si>
    <t xml:space="preserve">     30 гр.   ПСС (50/50)</t>
  </si>
  <si>
    <t xml:space="preserve">     40 гр.   ПСС (25/75)</t>
  </si>
  <si>
    <t xml:space="preserve">     40 гр.   ПСС (75/25)</t>
  </si>
  <si>
    <t>- пробег / дневное время/</t>
  </si>
  <si>
    <t>- полив /дневное время/</t>
  </si>
  <si>
    <t>- пробег /ночное время/</t>
  </si>
  <si>
    <t>-полив в ночное время</t>
  </si>
  <si>
    <t>МТЗ- 80.1 с тележкой  2ПТС-4</t>
  </si>
  <si>
    <t>МТЗ-80.1 для покоса травы</t>
  </si>
  <si>
    <t>САГ</t>
  </si>
  <si>
    <t>Компрессор</t>
  </si>
  <si>
    <t xml:space="preserve">КАЛЬКУЛЯЦИЯ </t>
  </si>
  <si>
    <t>стоимости 1 авточаса ГАЗ-3307 (фургон)</t>
  </si>
  <si>
    <t>Наименование статей</t>
  </si>
  <si>
    <t>С топливом</t>
  </si>
  <si>
    <t>Стоимость, руб.</t>
  </si>
  <si>
    <t>руб.</t>
  </si>
  <si>
    <t>Доплата за классность</t>
  </si>
  <si>
    <t>Доплата за слесарные работы</t>
  </si>
  <si>
    <t>Премия</t>
  </si>
  <si>
    <t xml:space="preserve">Время работы </t>
  </si>
  <si>
    <t>мин.</t>
  </si>
  <si>
    <t>Фонд оплаты труда</t>
  </si>
  <si>
    <t xml:space="preserve">Начисления на ФОТ </t>
  </si>
  <si>
    <t>Амортизация</t>
  </si>
  <si>
    <t>износ -100 %</t>
  </si>
  <si>
    <t>Ремонтный фонд</t>
  </si>
  <si>
    <t>Расход бензина</t>
  </si>
  <si>
    <t>0,257 л * 50 км</t>
  </si>
  <si>
    <t>л.</t>
  </si>
  <si>
    <t>Расход масел</t>
  </si>
  <si>
    <t>моторное</t>
  </si>
  <si>
    <t xml:space="preserve">х топливо х  </t>
  </si>
  <si>
    <t>трансмиссионное</t>
  </si>
  <si>
    <t xml:space="preserve">х топливо х </t>
  </si>
  <si>
    <t>специальное</t>
  </si>
  <si>
    <t>пластичные смазки</t>
  </si>
  <si>
    <t>Итого расход масел</t>
  </si>
  <si>
    <t>Общехозяйственные расходы</t>
  </si>
  <si>
    <t>Себестоимость услуги</t>
  </si>
  <si>
    <t>Рентабельность:</t>
  </si>
  <si>
    <t>для населения и муниципальных предприятий</t>
  </si>
  <si>
    <t>для прочих юридических лиц и предпринимателей</t>
  </si>
  <si>
    <t>ИТОГО с рентабельностью</t>
  </si>
  <si>
    <t>Часовая тарифная ставка водителя</t>
  </si>
  <si>
    <t>164 час.* 3 чел. * 11 мес. =</t>
  </si>
  <si>
    <t>164 час.* 6 чел. * 11 мес. =</t>
  </si>
  <si>
    <t>РАСЧЕТ АМОРТИЗАЦИОННЫХ ОТЧИСЛЕНИЙ И СУММЫ РЕМОНТНОГО ФОНДА ГАЗ 3307 (ФУРГОН)</t>
  </si>
  <si>
    <t xml:space="preserve">1. Общее количество авто/час транспорта (при загруженности - 100 %,)  в год составляет:       </t>
  </si>
  <si>
    <t>час.</t>
  </si>
  <si>
    <t>2. Количество часов, приходящееся на ТО-1 и ТО-2 транспорта:</t>
  </si>
  <si>
    <t xml:space="preserve">3. ГАЗ 3307 (фургон) введен в эксплуатацию 01.01.93 г., износ составляет 100% </t>
  </si>
  <si>
    <t>В связи с полным износом транспорта, период времени, приходящегося на дополнительное</t>
  </si>
  <si>
    <t>техническое  обслуживание составляет  (в соответствии с дефектной ведомостью):</t>
  </si>
  <si>
    <t xml:space="preserve">Количество часов работы транспорта = </t>
  </si>
  <si>
    <t xml:space="preserve">4. Сумма ремонтного фонда ведомости (согласно дефектной ведомости)  - </t>
  </si>
  <si>
    <t>Сумма амортизации  =</t>
  </si>
  <si>
    <t>сумма годовой амортизации</t>
  </si>
  <si>
    <t xml:space="preserve"> время работы транспорта</t>
  </si>
  <si>
    <t>Сумма ремонтного фонда   =</t>
  </si>
  <si>
    <t xml:space="preserve">сумма планового ремонтного фонда </t>
  </si>
  <si>
    <t>Расчет амортизационных отчислений и суммы ремонтного фонда</t>
  </si>
  <si>
    <t>Наименование транспорта</t>
  </si>
  <si>
    <t>Суммы калькуляционных статей</t>
  </si>
  <si>
    <t>сумма годовой аморти-и, руб.</t>
  </si>
  <si>
    <t>сумма годового ремонтного фонда, руб.</t>
  </si>
  <si>
    <t>время работы, час.</t>
  </si>
  <si>
    <t>амортизация</t>
  </si>
  <si>
    <t>ремонтный фонд</t>
  </si>
  <si>
    <t>ГАЗ 3307 (фургон)</t>
  </si>
  <si>
    <t>стоимости 1 авточаса ГАЗ-430100 (фургон)</t>
  </si>
  <si>
    <t>Часовая тарифная ставка</t>
  </si>
  <si>
    <t>водителя</t>
  </si>
  <si>
    <t>износ-100%</t>
  </si>
  <si>
    <t>Расход дизтоплива</t>
  </si>
  <si>
    <t>0,205 л * 50 км</t>
  </si>
  <si>
    <t>РАСЧЕТ АМОРТИЗАЦИОННЫХ ОТЧИСЛЕНИЙ И СУММЫ РЕМОНТНОГО ФОНДА ГАЗ 430100 (ФУРГОН)</t>
  </si>
  <si>
    <t xml:space="preserve">3. ГАЗ 430100 (фургон) введен в эксплуатацию 01.01.94 г., износ составляет 100% </t>
  </si>
  <si>
    <t>техническое  обслуживание составляет   (в соответствии с дефектной ведомостью):</t>
  </si>
  <si>
    <t>ГАЗ 430100 (фургон)</t>
  </si>
  <si>
    <t>УТВЕРЖДАЮ:</t>
  </si>
  <si>
    <t>стоимости 1 авточаса УАЗ 390944</t>
  </si>
  <si>
    <t>Начисления на ФОТ</t>
  </si>
  <si>
    <t>0,185 л *60 км</t>
  </si>
  <si>
    <t>х топливо х</t>
  </si>
  <si>
    <t>РАСЧЕТ АМОРТИЗАЦИОННЫХ ОТЧИСЛЕНИЙ И СУММЫ РЕМОНТНОГО ФОНДА УАЗ 390944</t>
  </si>
  <si>
    <t xml:space="preserve">3. Период времени, приходящегося на дополнительное техническое  обслуживание составляет  </t>
  </si>
  <si>
    <t xml:space="preserve">4. Сумма годовой амортизации  - </t>
  </si>
  <si>
    <t xml:space="preserve">5. Сумма ремонтного фонда ведомости (согласно дефектной ведомости)  - </t>
  </si>
  <si>
    <t>УАЗ 390944</t>
  </si>
  <si>
    <t>стоимости 1 авточаса ВАЗ-213100 "Нива"</t>
  </si>
  <si>
    <t>Расход СНГ</t>
  </si>
  <si>
    <t>0,129 л * 60 км</t>
  </si>
  <si>
    <t>РАСЧЕТ АМОРТИЗАЦИОННЫХ ОТЧИСЛЕНИЙ И СУММЫ РЕМОНТНОГО ФОНДА ВАЗ 213100 "Нива"</t>
  </si>
  <si>
    <t>ВАЗ 213100 "Нива"</t>
  </si>
  <si>
    <t>стоимости 1 авточаса МАЗ-5551 (самосвал)</t>
  </si>
  <si>
    <t>пробег</t>
  </si>
  <si>
    <t xml:space="preserve">0,294л * 60 км </t>
  </si>
  <si>
    <t>0,0025 × 2</t>
  </si>
  <si>
    <t>Итого расход дизтоплива</t>
  </si>
  <si>
    <t>РАСЧЕТ АМОРТИЗАЦИОННЫХ ОТЧИСЛЕНИЙ И СУММЫ РЕМОНТНОГО ФОНДА МАЗ-5551 (самосвал)</t>
  </si>
  <si>
    <t xml:space="preserve">3.МАЗ-5551 (самосвал) введен в эксплуатацию 01.01.95 г., износ составляет 100% </t>
  </si>
  <si>
    <t>МАЗ-5551 (самосвал)</t>
  </si>
  <si>
    <t>стоимости 1 авточаса автокрана УРАЛ - 5557-1652-10</t>
  </si>
  <si>
    <t>Перегон 1 км</t>
  </si>
  <si>
    <t>Работа оборудования 1 час</t>
  </si>
  <si>
    <t>1,5 мин</t>
  </si>
  <si>
    <t>ИЗНОС -100 %</t>
  </si>
  <si>
    <t xml:space="preserve">0,42 л. х 1 км. </t>
  </si>
  <si>
    <t xml:space="preserve"> х топливо х  </t>
  </si>
  <si>
    <t xml:space="preserve"> х топливо х </t>
  </si>
  <si>
    <t xml:space="preserve"> х топливо х</t>
  </si>
  <si>
    <t xml:space="preserve">Доплата </t>
  </si>
  <si>
    <t>Износ - 100 %</t>
  </si>
  <si>
    <t xml:space="preserve">РАСЧЕТ АМОРТИЗАЦИОННЫХ ОТЧИСЛЕНИЙ И СУММЫ РЕМОНТНОГО ФОНДА УРАЛ-5557 КС-3574 </t>
  </si>
  <si>
    <t xml:space="preserve">    Количество часов работы, приходящиееся на работу оборудования составляет:       </t>
  </si>
  <si>
    <t xml:space="preserve">час., что составляет  - </t>
  </si>
  <si>
    <t>%</t>
  </si>
  <si>
    <t xml:space="preserve">    Количество часов работы, приходящиееся на пробег транспорта составляет:       </t>
  </si>
  <si>
    <t xml:space="preserve">3. УРАЛ-5557 КС-3574 (самосвал) введен в эксплуатацию 01.01.94 г., износ составляет 100% </t>
  </si>
  <si>
    <t xml:space="preserve">4. Количество часов технического обслуживания, приходящиееся на работу оборудования:       </t>
  </si>
  <si>
    <t xml:space="preserve">* 98,12 % = </t>
  </si>
  <si>
    <t xml:space="preserve">    Количество часов технического обслуживания, приходящиееся на пробег оборудования:       </t>
  </si>
  <si>
    <t xml:space="preserve"> * 1,88 %  = </t>
  </si>
  <si>
    <t>час</t>
  </si>
  <si>
    <t xml:space="preserve">Количество часов, приходящееся на работу транспорта = </t>
  </si>
  <si>
    <t xml:space="preserve">Количество часов, приходящееся на пробег транспорта = </t>
  </si>
  <si>
    <t>Расчет амортизационных отчислений и суммы ремонтного фонда"УРАЛ-5557" КС-3574</t>
  </si>
  <si>
    <t>Итого</t>
  </si>
  <si>
    <t>Доплата за условия труда</t>
  </si>
  <si>
    <t>техническое  обслуживание составляет  (в соответствии с дефектной ведомостью)</t>
  </si>
  <si>
    <t>стоимости 1 авточаса ГАЗ-3307 (АСМ)</t>
  </si>
  <si>
    <t>Износ -100 %</t>
  </si>
  <si>
    <t>0,291л * 40 км</t>
  </si>
  <si>
    <t xml:space="preserve">1.7 л. х 2 </t>
  </si>
  <si>
    <t xml:space="preserve">РАСЧЕТ АМОРТИЗАЦИОННЫХ ОТЧИСЛЕНИЙ И СУММЫ РЕМОНТНОГО ФОНДА         ГАЗ-3307 (АСМ) </t>
  </si>
  <si>
    <t xml:space="preserve">3. ГАЗ -3307 (АСМ) введен в эксплуатацию 01.01.91 г., износ составляет 100% </t>
  </si>
  <si>
    <t>ГАЗ-3307 (АСМ)</t>
  </si>
  <si>
    <t>стоимости 1 авточаса ГАЗ-3309 КО-503В-2 (вакуумная)АСМ</t>
  </si>
  <si>
    <t>0,15 л * 40 км</t>
  </si>
  <si>
    <t xml:space="preserve">Итого </t>
  </si>
  <si>
    <t>РАСЧЕТ АМОРТИЗАЦИОННЫХ ОТЧИСЛЕНИЙ И СУММЫ РЕМОНТНОГО ФОНДА ГАЗ - 3309 КО-503В-2 (вакуумная)</t>
  </si>
  <si>
    <t>ГАЗ 3309 (АСМ)</t>
  </si>
  <si>
    <t>стоимости 1 авточаса ЗИЛ-433362 КО-502Б-2 (для очистки канализационных сетей)</t>
  </si>
  <si>
    <t>0,371 л * 50 км</t>
  </si>
  <si>
    <t>11,3 л. × 2</t>
  </si>
  <si>
    <t>0,371*60 км</t>
  </si>
  <si>
    <t>РАСЧЕТ АМОРТИЗАЦИОННЫХ ОТЧИСЛЕНИЙ И СУММЫ РЕМОНТНОГО ФОНДА  ЗИЛ-433362 КО-502Б-2 (для очистки канализационных сетей)</t>
  </si>
  <si>
    <t>ЗИЛ-433362 КО-502Б-2</t>
  </si>
  <si>
    <t>стоимости работы КО-829А на базе ЗИЛ - 433362</t>
  </si>
  <si>
    <t>Ед. изм.</t>
  </si>
  <si>
    <t>Расчетные величины</t>
  </si>
  <si>
    <t>в расчете на 1 км. пробега</t>
  </si>
  <si>
    <t>в расчете на 1км. работы плугом</t>
  </si>
  <si>
    <t>в расчете на 1 км. работы щеткой</t>
  </si>
  <si>
    <t>в расчете на 1км. работы плугом и щеткой</t>
  </si>
  <si>
    <t>в расчете на 1000 м² разбрасывающего оборудования</t>
  </si>
  <si>
    <t>75/25 ПСС      (120 гр.)</t>
  </si>
  <si>
    <t>50/50 ПСС      (120 гр)</t>
  </si>
  <si>
    <t>50/50 ПСС      (30 гр)</t>
  </si>
  <si>
    <t>25/75 ПСС      (40 гр)</t>
  </si>
  <si>
    <t>75/25 ПСС      (40 гр)</t>
  </si>
  <si>
    <t xml:space="preserve"> за час</t>
  </si>
  <si>
    <t xml:space="preserve">топливо (л). х </t>
  </si>
  <si>
    <t xml:space="preserve">х топливо х   </t>
  </si>
  <si>
    <t xml:space="preserve">Расход ПСС </t>
  </si>
  <si>
    <t>кг/1000 м²</t>
  </si>
  <si>
    <t>Соотношение песка и соли</t>
  </si>
  <si>
    <t>75/25</t>
  </si>
  <si>
    <t>50/50</t>
  </si>
  <si>
    <t>25/75</t>
  </si>
  <si>
    <t>Стоимость смеси песка</t>
  </si>
  <si>
    <t>руб./кг.</t>
  </si>
  <si>
    <t>Стоимость солевой смеси</t>
  </si>
  <si>
    <t>Стоимость ПСС</t>
  </si>
  <si>
    <t>Приготовление ПСС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</si>
  <si>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</si>
  <si>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Покрытие тыс./м²</t>
  </si>
  <si>
    <t>тыс.м²</t>
  </si>
  <si>
    <t>/норма россыпи</t>
  </si>
  <si>
    <t>Стоимость приготовления ПСС</t>
  </si>
  <si>
    <t xml:space="preserve">* Работа разбрасывающего оборудования рассчитывается на 1000 м² (средняя ширина дороги составляет 6 м) </t>
  </si>
  <si>
    <t xml:space="preserve">    Доплата за классность - 25 %</t>
  </si>
  <si>
    <t xml:space="preserve">    Премия - 40 %</t>
  </si>
  <si>
    <t xml:space="preserve">    Скорость движения при работе оборудования: плужного, щеточного, плужно-щеточного и поливомоечного - 10 км/час; при холостом пробеге - 35 км/час; при работе разбрасывающего оборудования - 5 км/час  </t>
  </si>
  <si>
    <t xml:space="preserve">     Стоимость приготовления 1 кузова  ПСС = </t>
  </si>
  <si>
    <t>руб.  :</t>
  </si>
  <si>
    <t>мин.  *</t>
  </si>
  <si>
    <t xml:space="preserve">мин. = </t>
  </si>
  <si>
    <t xml:space="preserve">плотностью 120 гр./м2 -175 тыс.м2 </t>
  </si>
  <si>
    <t>в расчете на 1 км. холостого пробега</t>
  </si>
  <si>
    <t>в расчете на 1 час полива (без учета стоимости воды)</t>
  </si>
  <si>
    <t>Приготовление кузова</t>
  </si>
  <si>
    <t>5 маш</t>
  </si>
  <si>
    <t>Приготовление  ПСС 75/25</t>
  </si>
  <si>
    <t>тонн</t>
  </si>
  <si>
    <t>4200 кг</t>
  </si>
  <si>
    <t>120 гр./м2</t>
  </si>
  <si>
    <t>Расходы на ПСС 75/25 плотностью</t>
  </si>
  <si>
    <t>солевая смесь  3500 руб/т</t>
  </si>
  <si>
    <t>5маш</t>
  </si>
  <si>
    <t>Фонд  оплаты  труда</t>
  </si>
  <si>
    <t>руб</t>
  </si>
  <si>
    <t>5 час</t>
  </si>
  <si>
    <t>Начисления  на  ФОТ</t>
  </si>
  <si>
    <t>км</t>
  </si>
  <si>
    <t>посыпка</t>
  </si>
  <si>
    <t>л</t>
  </si>
  <si>
    <t>холостой пробег</t>
  </si>
  <si>
    <t>ВСЕГО</t>
  </si>
  <si>
    <t xml:space="preserve">                                                Механик                                                                      Суздалев Н.Н.</t>
  </si>
  <si>
    <t>стоимости работы  одного дня КО-829А на базе ЗИЛ - 433362   при посыпке  ПСС 75/25  ,</t>
  </si>
  <si>
    <t xml:space="preserve">стоимости работы  одного дня КО-829А на базе ЗИЛ - 433362   при </t>
  </si>
  <si>
    <t>расчистка</t>
  </si>
  <si>
    <t>стоимости работы КО-829А на базе ЗИЛ - 433362 ( дневное  время)</t>
  </si>
  <si>
    <t>в расчете на 1 час полива в ночное время(без учета стоимости воды)</t>
  </si>
  <si>
    <t>л/10 км</t>
  </si>
  <si>
    <t>* Стоимость работы складывается: из стоимости 1 км холостого пробега , пройденного автомобилем до места, определенного потребителем, с момента прибытия расчет производится за количество отработанного времени (час), по завершению работы рассчитывается расстояние, пройденное от места произведенных работ до места нахождения МУП ТВК "Кавказский" в расчете на 1 км. холостого пробега</t>
  </si>
  <si>
    <t>Экономист МУП ТВК "Кавказский"</t>
  </si>
  <si>
    <t>стоимости работы КО-829А на базе ЗИЛ - 433362 (в ночное время)</t>
  </si>
  <si>
    <t>в т.ч. доплата за работу в ночное время</t>
  </si>
  <si>
    <t>РАСЧЕТ АМОРТИЗАЦИОННЫХ ОТЧИСЛЕНИЙ И СУММЫ РЕМОНТНОГО ФОНДА</t>
  </si>
  <si>
    <t>КО 829А ЗИЛ 433362</t>
  </si>
  <si>
    <t xml:space="preserve">Работа оборудования: плужная, плужно-щеточная и разбрасывающая может производится только в зимнее время - 3 мес.  </t>
  </si>
  <si>
    <t xml:space="preserve">Работа оборудования: поливомоечная , щеточная, полив - 9 мес.  </t>
  </si>
  <si>
    <t>Перераспределение плана работы оборудования</t>
  </si>
  <si>
    <t>Работа плугом</t>
  </si>
  <si>
    <t>Работа плугом и щеткой</t>
  </si>
  <si>
    <t>Работа разбрасывающего оборудования</t>
  </si>
  <si>
    <t>Работа щеткой</t>
  </si>
  <si>
    <t>Работа поливомоечного оборудования</t>
  </si>
  <si>
    <t>Работа оборудования при поливе</t>
  </si>
  <si>
    <t>Пробег</t>
  </si>
  <si>
    <t>Процентное соотношение часов работы оборудования к итогу (%)</t>
  </si>
  <si>
    <t>Количество часов (час)</t>
  </si>
  <si>
    <t>Средняя скорость (км/час)</t>
  </si>
  <si>
    <t>Плановый пробег (км)</t>
  </si>
  <si>
    <t>Плановая работа оборудования при поливе (час)</t>
  </si>
  <si>
    <t>Процентное соотношение час.  оборудования к итогу (%)</t>
  </si>
  <si>
    <t>4. Стоимость КО-829А на базе ЗИЛ 433362 - 1290156 руб</t>
  </si>
  <si>
    <t xml:space="preserve">    Амортизационная группа - 4, срок полезного использования - 7 лет</t>
  </si>
  <si>
    <t xml:space="preserve">Годовая сумма амортизационных отчислений  - 290156 руб. : 7 лет =  </t>
  </si>
  <si>
    <t xml:space="preserve"> руб/год</t>
  </si>
  <si>
    <t xml:space="preserve">   Сумма ремонтного фонда ведомости (согласно дефектной ведомости)  - </t>
  </si>
  <si>
    <t>плановый годовой пробег</t>
  </si>
  <si>
    <t xml:space="preserve">Вид услуги КО-829А на базе ЗИЛ-433362 </t>
  </si>
  <si>
    <t>сумма годовой аморти-и, руб</t>
  </si>
  <si>
    <t>плановый годовой пробег, км.</t>
  </si>
  <si>
    <t>план работы оборудования, час.</t>
  </si>
  <si>
    <t>Амортизация на 1 км.</t>
  </si>
  <si>
    <t>Амортизация на 1 час.</t>
  </si>
  <si>
    <t>Ремонтный фонд на 1 км.</t>
  </si>
  <si>
    <t>Ремонтный фонд на 1 час.</t>
  </si>
  <si>
    <t xml:space="preserve">плужная </t>
  </si>
  <si>
    <t>плужно-щеточная</t>
  </si>
  <si>
    <t>разбрасывающая</t>
  </si>
  <si>
    <t>щеточная</t>
  </si>
  <si>
    <t>поливомоечная</t>
  </si>
  <si>
    <t xml:space="preserve">пробег </t>
  </si>
  <si>
    <t>полив</t>
  </si>
  <si>
    <t>в расчете на 1 бочку полива</t>
  </si>
  <si>
    <t xml:space="preserve">Расход воды </t>
  </si>
  <si>
    <t>боч.</t>
  </si>
  <si>
    <t>6 м³ ×</t>
  </si>
  <si>
    <t>Итого для населения и муниципальных предприятий</t>
  </si>
  <si>
    <t>Итого для прочих юридических лиц и предпринимателей</t>
  </si>
  <si>
    <t xml:space="preserve">   В соответствии с технической документацией средняя скорость движения при работе поливомоечного оборудования - 10 км/час; при холостом пробеге - 35 км/час; среднее время, приходящееся на расход 1 бочки воды при поливе, составляет 1 час  </t>
  </si>
  <si>
    <t xml:space="preserve">Работа оборудования: поливомоечная - 4,5 мес.  </t>
  </si>
  <si>
    <t xml:space="preserve">Работа оборудования: щеточная - 4,5 мес.  </t>
  </si>
  <si>
    <t>Расчет планового пробега</t>
  </si>
  <si>
    <t>Процентное соотношение км.  оборудования к итогу (%)</t>
  </si>
  <si>
    <t>сумма годовой аморти-и</t>
  </si>
  <si>
    <t>сумма годового ремонтного фонда</t>
  </si>
  <si>
    <t>Доплата за разряд</t>
  </si>
  <si>
    <t>стоимости 1 моточаса экскаватора ЭО 2626 на базе трактора МТЗ-82</t>
  </si>
  <si>
    <t xml:space="preserve">13,53 л. х </t>
  </si>
  <si>
    <t>РАСЧЕТ АМОРТИЗАЦИОННЫХ ОТЧИСЛЕНИЙ И СУММЫ РЕМОНТНОГО ФОНДА  ЭКСКАВАТОРА 2626 МТЗ-82</t>
  </si>
  <si>
    <t>ЭО 2626 МТЗ82</t>
  </si>
  <si>
    <t>стоимости 1 моточаса трактора МТЗ-80 с тележкой 2ПТС-4</t>
  </si>
  <si>
    <t xml:space="preserve">9,95 л. х </t>
  </si>
  <si>
    <t xml:space="preserve">стоимости 1 моточаса трактора МТЗ-80 для покоса травы   </t>
  </si>
  <si>
    <t>Материалы</t>
  </si>
  <si>
    <t>комплект для косилки</t>
  </si>
  <si>
    <t>ремень для косилки</t>
  </si>
  <si>
    <t xml:space="preserve">подшипники </t>
  </si>
  <si>
    <t>РАСЧЕТ АМОРТИЗАЦИОННЫХ ОТЧИСЛЕНИЙ И СУММЫ РЕМОНТНОГО ФОНДА  ТРАКТОРА МТЗ-80 С ПРИЦЕПОМ 2 ПТС-4</t>
  </si>
  <si>
    <t>Трактор МТЗ 80</t>
  </si>
  <si>
    <t>стоимости 1 моточаса автогрейдера ДЗ-180</t>
  </si>
  <si>
    <t xml:space="preserve">12,82 л. х </t>
  </si>
  <si>
    <t>РАСЧЕТ АМОРТИЗАЦИОННЫХ ОТЧИСЛЕНИЙ И СУММЫ РЕМОНТНОГО ФОНДА  АВТОГРЕЙДЕР ДЗ-180</t>
  </si>
  <si>
    <t xml:space="preserve">3. Автогрейдер ДЗ 180 введен в эксплуатацию 01.01.94 г., износ составляет 100% </t>
  </si>
  <si>
    <t xml:space="preserve">техническое  обслуживание составляет  </t>
  </si>
  <si>
    <t>стоимости 1 моточаса трактора Т-25</t>
  </si>
  <si>
    <t xml:space="preserve">2,7 л. х </t>
  </si>
  <si>
    <t>РАСЧЕТ АМОРТИЗАЦИОННЫХ ОТЧИСЛЕНИЙ И СУММЫ РЕМОНТНОГО ФОНДА  ТРАКТОР Т-25</t>
  </si>
  <si>
    <t xml:space="preserve">3. Трактор Т-25  введен в эксплуатацию 01.01.90 г., износ составляет 100% </t>
  </si>
  <si>
    <t>стоимости 1 моточаса Сварочного агрегата АДД-400У (тележка)</t>
  </si>
  <si>
    <t xml:space="preserve">2,57л. х </t>
  </si>
  <si>
    <t>РАСЧЕТ АМОРТИЗАЦИОННЫХ ОТЧИСЛЕНИЙ И СУММЫ РЕМОНТНОГО ФОНДА  СВАРОЧНЫЙ АГРЕГАТ АДД-400У (ТЕЛЕЖКА)</t>
  </si>
  <si>
    <t xml:space="preserve">2. САГ  введен в эксплуатацию в 1997 г., износ составляет 100% </t>
  </si>
  <si>
    <t>Учитывая полный износ техники, период времени, приходящегося на техническое  обслуживание</t>
  </si>
  <si>
    <t xml:space="preserve">составляет  </t>
  </si>
  <si>
    <t xml:space="preserve">Количество часов работы  = </t>
  </si>
  <si>
    <t xml:space="preserve">3. Сумма ремонтного фонда ведомости (согласно дефектной ведомости)  - </t>
  </si>
  <si>
    <t>Автогрейдер  ДЗ-180</t>
  </si>
  <si>
    <t>*средняя скорость автокрана "Урал" по станице Кавказской  - 40 км/час, пробег в базовом периоде составил - 3790 км.</t>
  </si>
  <si>
    <t>ЗИЛ - 433362 КО-829А (комбинированная)</t>
  </si>
  <si>
    <t>Работа оборудования (1 час)</t>
  </si>
  <si>
    <t>Пробег транспорта (1 км)</t>
  </si>
  <si>
    <t xml:space="preserve">1. Общее количество мото/час транспорта (при загруженности - 100 %)  в год:       </t>
  </si>
  <si>
    <t>1,35 л. х 2</t>
  </si>
  <si>
    <t>*Ширина рабочей зоны при работе оборудования плужного, щеточного, плужно-щеточного и поливомоечного - составляет  2,5 м, исходя из этого расчет стоимости вышеуказанного оборудования рассчитывается на 1 км одной полосы дороги.</t>
  </si>
  <si>
    <t>л/1 км</t>
  </si>
  <si>
    <t>кг/м² покрытия</t>
  </si>
  <si>
    <t>песок 400 руб/т</t>
  </si>
  <si>
    <t>в расчете на 1 час полива в дневное время(без учета стоимости воды)</t>
  </si>
  <si>
    <t>* Стоимость работы складывается: из стоимости 1 км холостого пробега , пройденного автомобилем до места, определенного потребителем, с момента прибытия расчет производится за количество отработанного времени (час), по завершению работы рассчитывается расстояние, пройденное от места произведенных работ до места нахождения МУП ТВК "Кавказский" в расчете на 1 км холостого пробега</t>
  </si>
  <si>
    <t xml:space="preserve">топливо (л) х </t>
  </si>
  <si>
    <t>27,03 руб.</t>
  </si>
  <si>
    <t>* базовым  принимается период, предшествующий расчетному</t>
  </si>
  <si>
    <r>
      <t xml:space="preserve">Время работы 1 ед. транспорта </t>
    </r>
    <r>
      <rPr>
        <i/>
        <sz val="9"/>
        <rFont val="Times New Roman"/>
        <family val="1"/>
        <charset val="204"/>
      </rPr>
      <t>= (общее количество мото/часов - общее время, приходящееся на пробег техники) * процент загруженности техники в базовом периоде + время, приходящееся на пробег 1 единицы техники</t>
    </r>
  </si>
  <si>
    <r>
      <t xml:space="preserve">Время работы 1 ед. транспорта </t>
    </r>
    <r>
      <rPr>
        <i/>
        <sz val="9"/>
        <rFont val="Times New Roman"/>
        <family val="1"/>
        <charset val="204"/>
      </rPr>
      <t>= (общее количество авто/часов - общее время, приходящееся на работу оборудования) * процент загруженности техники в базовом периоде + время, работы оборудования приходящееся на 1 единицу техники</t>
    </r>
  </si>
  <si>
    <t>цена  бюдж. 2013 г</t>
  </si>
  <si>
    <t>«    » _______________   2014 года</t>
  </si>
  <si>
    <t>_____________Уманец С.Н.</t>
  </si>
  <si>
    <t>_________________  Уманец С.Н.</t>
  </si>
  <si>
    <t>«   »                  2014 года</t>
  </si>
  <si>
    <t>_________________Уманец С.Н.</t>
  </si>
  <si>
    <t>«   »             2014 года</t>
  </si>
  <si>
    <t>______________Уманец С.Н.</t>
  </si>
  <si>
    <t>«    »            2014 года</t>
  </si>
  <si>
    <t>«     »                      2014 года</t>
  </si>
  <si>
    <t>«     »               2014 года</t>
  </si>
  <si>
    <t>«    »                2014 года</t>
  </si>
  <si>
    <t>«    »                       2014 года</t>
  </si>
  <si>
    <t>«   »              2014 года</t>
  </si>
  <si>
    <t>«     »                   2014 года</t>
  </si>
  <si>
    <t>«   »                2014 года</t>
  </si>
  <si>
    <t>«____» ___________ 2014 года</t>
  </si>
  <si>
    <t>«___» ___________ 2014 года</t>
  </si>
  <si>
    <t>«   »                        2014 года</t>
  </si>
  <si>
    <t>«  »                               2014 года</t>
  </si>
  <si>
    <t>«  »                                  2014 года</t>
  </si>
  <si>
    <t>«   »                               2014 года</t>
  </si>
  <si>
    <t>«   »                             2014 года</t>
  </si>
  <si>
    <t>«    »                                2014 года</t>
  </si>
  <si>
    <t xml:space="preserve"> </t>
  </si>
  <si>
    <t xml:space="preserve">в расчете на 1 км. поливо-моечного оборудования, </t>
  </si>
  <si>
    <t>занимает 30 мин.</t>
  </si>
  <si>
    <t xml:space="preserve">     На приготовление 1 кузова ПСС уходит  40 мин., в процессе приготовления задействован трактор МТЗ - 80, погрузка ПСС  </t>
  </si>
  <si>
    <t>2)  Вместимость кузова разбрасывателя - 3,1 м³, средний переводной коэффициент - 1,355, соответственно максимальная масса</t>
  </si>
  <si>
    <t xml:space="preserve"> ПСС - 4200 кг.</t>
  </si>
  <si>
    <t>Часовая тарифная ставка  слесаря АВР 5 р</t>
  </si>
  <si>
    <t>Часовая тарифная ставка слесаря АВР 4 р</t>
  </si>
  <si>
    <t>В 2015 г. планируется, что техника, распределенная по видам, будет загружена равномерно</t>
  </si>
  <si>
    <t>Плановое время работы транспорта по видам техники на 2015 г.</t>
  </si>
  <si>
    <t>Плановое время работы транспорта по видам техники на 2015 г. представлена а табл.2</t>
  </si>
  <si>
    <t>ПЛАНОВЫЙ РАСЧЕТ ВРЕМЕНИ РАБОТЫ ТРАНСПОРТА                                                    МУП ТВК "КАВКАЗСКИЙ" на 2015 г.</t>
  </si>
  <si>
    <t>Загруженность авто/техники в базовом периоде* и расчет планового времени работы единицы техники на 2015 г.</t>
  </si>
  <si>
    <t>Загруженность мото/техники в базовом периоде* и расчет планового времени работы единицы техники на 2015 г.</t>
  </si>
  <si>
    <t>С топливом, руб.</t>
  </si>
  <si>
    <t>Без топлива, руб.</t>
  </si>
  <si>
    <t xml:space="preserve">      производственная себестоимость трактора МТЗ - 80 = 723,28 руб.</t>
  </si>
  <si>
    <t>расчистке  снега плугом</t>
  </si>
  <si>
    <t xml:space="preserve"> МУП ТВК "Кавказский" на 2014 -2015 год</t>
  </si>
  <si>
    <t>1) Часовая тарифная ставка водителя (1 час) - 74,34 руб.</t>
  </si>
  <si>
    <t xml:space="preserve">    Фонд оплаты труда 1 часа водителя составляет 130,1 руб.</t>
  </si>
  <si>
    <t xml:space="preserve">12 единиц   = </t>
  </si>
  <si>
    <t>1) На балансе МУП ТВК "Кавказский" числится  20 единиц транспорта: 12 единиц автотранспорта и автомобильного специализированного транспорта (включая КО-829А на базе ЗИЛ 433362) и 8 единиц прочего специализированного транспорта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</si>
</sst>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"/>
    <numFmt numFmtId="166" formatCode="0.0000"/>
    <numFmt numFmtId="167" formatCode="0.00000"/>
    <numFmt numFmtId="168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7"/>
      <name val="Times New Roman"/>
      <family val="1"/>
      <charset val="204"/>
    </font>
    <font>
      <i/>
      <sz val="7"/>
      <name val="Times New Roman"/>
      <family val="1"/>
      <charset val="204"/>
    </font>
    <font>
      <i/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i/>
      <u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31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2" fontId="2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2" fontId="4" fillId="0" borderId="0" xfId="0" applyNumberFormat="1" applyFont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2" fontId="3" fillId="0" borderId="3" xfId="0" applyNumberFormat="1" applyFont="1" applyBorder="1" applyAlignment="1">
      <alignment horizontal="right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Fill="1" applyAlignment="1">
      <alignment vertical="center"/>
    </xf>
    <xf numFmtId="2" fontId="9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4" fontId="9" fillId="0" borderId="16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left" vertical="center" wrapText="1"/>
    </xf>
    <xf numFmtId="165" fontId="9" fillId="0" borderId="16" xfId="0" applyNumberFormat="1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2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2" fontId="14" fillId="0" borderId="3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vertical="center"/>
    </xf>
    <xf numFmtId="10" fontId="9" fillId="0" borderId="3" xfId="0" applyNumberFormat="1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vertical="center"/>
    </xf>
    <xf numFmtId="2" fontId="12" fillId="0" borderId="3" xfId="0" applyNumberFormat="1" applyFont="1" applyFill="1" applyBorder="1" applyAlignment="1">
      <alignment vertical="center"/>
    </xf>
    <xf numFmtId="10" fontId="12" fillId="0" borderId="3" xfId="0" applyNumberFormat="1" applyFont="1" applyFill="1" applyBorder="1" applyAlignment="1">
      <alignment vertical="center"/>
    </xf>
    <xf numFmtId="2" fontId="9" fillId="0" borderId="3" xfId="0" applyNumberFormat="1" applyFont="1" applyFill="1" applyBorder="1" applyAlignment="1">
      <alignment horizontal="right" vertical="center"/>
    </xf>
    <xf numFmtId="4" fontId="9" fillId="0" borderId="3" xfId="0" applyNumberFormat="1" applyFont="1" applyFill="1" applyBorder="1" applyAlignment="1">
      <alignment horizontal="right" vertical="center"/>
    </xf>
    <xf numFmtId="2" fontId="12" fillId="0" borderId="3" xfId="0" applyNumberFormat="1" applyFont="1" applyFill="1" applyBorder="1" applyAlignment="1">
      <alignment horizontal="right" vertical="center"/>
    </xf>
    <xf numFmtId="0" fontId="9" fillId="0" borderId="10" xfId="0" applyFont="1" applyFill="1" applyBorder="1" applyAlignment="1">
      <alignment horizontal="center" vertical="center"/>
    </xf>
    <xf numFmtId="10" fontId="9" fillId="0" borderId="9" xfId="0" applyNumberFormat="1" applyFont="1" applyFill="1" applyBorder="1" applyAlignment="1">
      <alignment horizontal="center" vertical="center"/>
    </xf>
    <xf numFmtId="2" fontId="9" fillId="0" borderId="11" xfId="0" applyNumberFormat="1" applyFont="1" applyFill="1" applyBorder="1" applyAlignment="1">
      <alignment horizontal="center" vertical="center"/>
    </xf>
    <xf numFmtId="4" fontId="9" fillId="0" borderId="9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14" fillId="0" borderId="3" xfId="0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2" fontId="11" fillId="0" borderId="3" xfId="0" applyNumberFormat="1" applyFont="1" applyBorder="1" applyAlignment="1">
      <alignment horizontal="right" vertical="center" wrapText="1"/>
    </xf>
    <xf numFmtId="2" fontId="11" fillId="0" borderId="3" xfId="0" applyNumberFormat="1" applyFont="1" applyBorder="1" applyAlignment="1">
      <alignment horizontal="right" vertical="center"/>
    </xf>
    <xf numFmtId="2" fontId="11" fillId="0" borderId="10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9" fillId="0" borderId="0" xfId="0" applyFont="1" applyFill="1"/>
    <xf numFmtId="166" fontId="9" fillId="0" borderId="0" xfId="0" applyNumberFormat="1" applyFont="1" applyFill="1"/>
    <xf numFmtId="0" fontId="12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2" fontId="9" fillId="0" borderId="0" xfId="0" applyNumberFormat="1" applyFont="1" applyFill="1"/>
    <xf numFmtId="0" fontId="9" fillId="0" borderId="3" xfId="0" applyFont="1" applyFill="1" applyBorder="1"/>
    <xf numFmtId="166" fontId="9" fillId="0" borderId="3" xfId="0" applyNumberFormat="1" applyFont="1" applyFill="1" applyBorder="1"/>
    <xf numFmtId="0" fontId="9" fillId="0" borderId="3" xfId="0" applyFont="1" applyFill="1" applyBorder="1" applyAlignment="1">
      <alignment horizontal="right"/>
    </xf>
    <xf numFmtId="2" fontId="9" fillId="0" borderId="3" xfId="0" applyNumberFormat="1" applyFont="1" applyFill="1" applyBorder="1"/>
    <xf numFmtId="0" fontId="9" fillId="0" borderId="3" xfId="0" applyFont="1" applyFill="1" applyBorder="1" applyAlignment="1">
      <alignment horizontal="center"/>
    </xf>
    <xf numFmtId="10" fontId="9" fillId="0" borderId="3" xfId="0" applyNumberFormat="1" applyFont="1" applyFill="1" applyBorder="1" applyAlignment="1">
      <alignment horizontal="right"/>
    </xf>
    <xf numFmtId="0" fontId="9" fillId="0" borderId="3" xfId="0" applyFont="1" applyFill="1" applyBorder="1" applyAlignment="1">
      <alignment horizontal="left"/>
    </xf>
    <xf numFmtId="166" fontId="9" fillId="0" borderId="3" xfId="0" applyNumberFormat="1" applyFont="1" applyFill="1" applyBorder="1" applyAlignment="1">
      <alignment horizontal="left"/>
    </xf>
    <xf numFmtId="0" fontId="12" fillId="0" borderId="3" xfId="0" applyFont="1" applyFill="1" applyBorder="1" applyAlignment="1">
      <alignment horizontal="center"/>
    </xf>
    <xf numFmtId="0" fontId="12" fillId="0" borderId="3" xfId="0" applyFont="1" applyFill="1" applyBorder="1"/>
    <xf numFmtId="166" fontId="12" fillId="0" borderId="3" xfId="0" applyNumberFormat="1" applyFont="1" applyFill="1" applyBorder="1"/>
    <xf numFmtId="0" fontId="12" fillId="0" borderId="3" xfId="0" applyFont="1" applyFill="1" applyBorder="1" applyAlignment="1">
      <alignment horizontal="right"/>
    </xf>
    <xf numFmtId="2" fontId="12" fillId="0" borderId="3" xfId="0" applyNumberFormat="1" applyFont="1" applyFill="1" applyBorder="1"/>
    <xf numFmtId="10" fontId="12" fillId="0" borderId="3" xfId="0" applyNumberFormat="1" applyFont="1" applyFill="1" applyBorder="1" applyAlignment="1">
      <alignment horizontal="right"/>
    </xf>
    <xf numFmtId="0" fontId="9" fillId="0" borderId="3" xfId="0" applyFont="1" applyFill="1" applyBorder="1" applyAlignment="1"/>
    <xf numFmtId="2" fontId="9" fillId="0" borderId="3" xfId="0" applyNumberFormat="1" applyFont="1" applyFill="1" applyBorder="1" applyAlignment="1">
      <alignment horizontal="right"/>
    </xf>
    <xf numFmtId="4" fontId="9" fillId="0" borderId="3" xfId="0" applyNumberFormat="1" applyFont="1" applyFill="1" applyBorder="1" applyAlignment="1">
      <alignment horizontal="right"/>
    </xf>
    <xf numFmtId="2" fontId="12" fillId="0" borderId="3" xfId="0" applyNumberFormat="1" applyFont="1" applyFill="1" applyBorder="1" applyAlignment="1">
      <alignment horizontal="right"/>
    </xf>
    <xf numFmtId="166" fontId="12" fillId="0" borderId="11" xfId="0" applyNumberFormat="1" applyFont="1" applyFill="1" applyBorder="1"/>
    <xf numFmtId="166" fontId="9" fillId="0" borderId="10" xfId="0" applyNumberFormat="1" applyFont="1" applyFill="1" applyBorder="1"/>
    <xf numFmtId="10" fontId="9" fillId="0" borderId="9" xfId="0" applyNumberFormat="1" applyFont="1" applyFill="1" applyBorder="1" applyAlignment="1"/>
    <xf numFmtId="2" fontId="9" fillId="0" borderId="11" xfId="0" applyNumberFormat="1" applyFont="1" applyFill="1" applyBorder="1" applyAlignment="1"/>
    <xf numFmtId="4" fontId="9" fillId="0" borderId="9" xfId="0" applyNumberFormat="1" applyFont="1" applyFill="1" applyBorder="1" applyAlignment="1"/>
    <xf numFmtId="166" fontId="9" fillId="0" borderId="0" xfId="0" applyNumberFormat="1" applyFont="1" applyFill="1" applyBorder="1"/>
    <xf numFmtId="4" fontId="9" fillId="0" borderId="0" xfId="0" applyNumberFormat="1" applyFont="1" applyFill="1" applyBorder="1" applyAlignment="1"/>
    <xf numFmtId="10" fontId="9" fillId="0" borderId="10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center"/>
    </xf>
    <xf numFmtId="2" fontId="14" fillId="0" borderId="3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10" fontId="9" fillId="0" borderId="3" xfId="0" applyNumberFormat="1" applyFont="1" applyFill="1" applyBorder="1"/>
    <xf numFmtId="10" fontId="12" fillId="0" borderId="3" xfId="0" applyNumberFormat="1" applyFont="1" applyFill="1" applyBorder="1"/>
    <xf numFmtId="4" fontId="9" fillId="0" borderId="3" xfId="0" applyNumberFormat="1" applyFont="1" applyFill="1" applyBorder="1" applyAlignment="1">
      <alignment horizontal="left"/>
    </xf>
    <xf numFmtId="0" fontId="9" fillId="0" borderId="11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10" fontId="9" fillId="0" borderId="9" xfId="0" applyNumberFormat="1" applyFont="1" applyFill="1" applyBorder="1" applyAlignment="1">
      <alignment horizontal="left"/>
    </xf>
    <xf numFmtId="0" fontId="9" fillId="0" borderId="11" xfId="0" applyFont="1" applyFill="1" applyBorder="1"/>
    <xf numFmtId="4" fontId="9" fillId="0" borderId="9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left"/>
    </xf>
    <xf numFmtId="4" fontId="9" fillId="0" borderId="3" xfId="0" applyNumberFormat="1" applyFont="1" applyFill="1" applyBorder="1"/>
    <xf numFmtId="2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left"/>
    </xf>
    <xf numFmtId="0" fontId="12" fillId="0" borderId="3" xfId="0" applyFont="1" applyFill="1" applyBorder="1" applyAlignment="1">
      <alignment horizontal="left"/>
    </xf>
    <xf numFmtId="2" fontId="9" fillId="0" borderId="0" xfId="0" applyNumberFormat="1" applyFont="1" applyFill="1" applyAlignment="1">
      <alignment horizontal="left"/>
    </xf>
    <xf numFmtId="2" fontId="12" fillId="0" borderId="10" xfId="0" applyNumberFormat="1" applyFont="1" applyFill="1" applyBorder="1"/>
    <xf numFmtId="166" fontId="9" fillId="0" borderId="10" xfId="0" applyNumberFormat="1" applyFont="1" applyFill="1" applyBorder="1" applyAlignment="1">
      <alignment horizontal="left"/>
    </xf>
    <xf numFmtId="10" fontId="9" fillId="0" borderId="9" xfId="0" applyNumberFormat="1" applyFont="1" applyFill="1" applyBorder="1" applyAlignment="1">
      <alignment horizontal="right"/>
    </xf>
    <xf numFmtId="2" fontId="9" fillId="0" borderId="11" xfId="0" applyNumberFormat="1" applyFont="1" applyFill="1" applyBorder="1"/>
    <xf numFmtId="4" fontId="9" fillId="0" borderId="9" xfId="0" applyNumberFormat="1" applyFont="1" applyFill="1" applyBorder="1" applyAlignment="1">
      <alignment horizontal="right"/>
    </xf>
    <xf numFmtId="166" fontId="9" fillId="0" borderId="0" xfId="0" applyNumberFormat="1" applyFont="1" applyFill="1" applyBorder="1" applyAlignment="1">
      <alignment horizontal="left"/>
    </xf>
    <xf numFmtId="4" fontId="9" fillId="0" borderId="0" xfId="0" applyNumberFormat="1" applyFont="1" applyFill="1" applyBorder="1" applyAlignment="1">
      <alignment horizontal="right"/>
    </xf>
    <xf numFmtId="4" fontId="12" fillId="0" borderId="3" xfId="0" applyNumberFormat="1" applyFont="1" applyFill="1" applyBorder="1"/>
    <xf numFmtId="1" fontId="9" fillId="0" borderId="0" xfId="0" applyNumberFormat="1" applyFont="1" applyFill="1"/>
    <xf numFmtId="166" fontId="9" fillId="0" borderId="0" xfId="0" applyNumberFormat="1" applyFont="1" applyFill="1" applyAlignment="1">
      <alignment horizontal="center"/>
    </xf>
    <xf numFmtId="166" fontId="9" fillId="0" borderId="3" xfId="0" applyNumberFormat="1" applyFont="1" applyFill="1" applyBorder="1" applyAlignment="1">
      <alignment horizontal="center"/>
    </xf>
    <xf numFmtId="10" fontId="9" fillId="0" borderId="3" xfId="0" applyNumberFormat="1" applyFont="1" applyFill="1" applyBorder="1" applyAlignment="1">
      <alignment horizontal="center"/>
    </xf>
    <xf numFmtId="166" fontId="12" fillId="0" borderId="3" xfId="0" applyNumberFormat="1" applyFont="1" applyFill="1" applyBorder="1" applyAlignment="1">
      <alignment horizontal="center"/>
    </xf>
    <xf numFmtId="10" fontId="12" fillId="0" borderId="3" xfId="0" applyNumberFormat="1" applyFont="1" applyFill="1" applyBorder="1" applyAlignment="1">
      <alignment horizontal="center"/>
    </xf>
    <xf numFmtId="166" fontId="12" fillId="0" borderId="0" xfId="0" applyNumberFormat="1" applyFont="1" applyFill="1" applyBorder="1" applyAlignment="1">
      <alignment horizontal="center"/>
    </xf>
    <xf numFmtId="2" fontId="9" fillId="0" borderId="3" xfId="0" applyNumberFormat="1" applyFont="1" applyFill="1" applyBorder="1" applyAlignment="1">
      <alignment horizontal="center"/>
    </xf>
    <xf numFmtId="2" fontId="12" fillId="0" borderId="3" xfId="0" applyNumberFormat="1" applyFont="1" applyFill="1" applyBorder="1" applyAlignment="1">
      <alignment horizontal="center"/>
    </xf>
    <xf numFmtId="166" fontId="9" fillId="0" borderId="10" xfId="0" applyNumberFormat="1" applyFont="1" applyFill="1" applyBorder="1" applyAlignment="1">
      <alignment horizontal="center"/>
    </xf>
    <xf numFmtId="2" fontId="9" fillId="0" borderId="11" xfId="0" applyNumberFormat="1" applyFont="1" applyFill="1" applyBorder="1" applyAlignment="1">
      <alignment horizontal="center"/>
    </xf>
    <xf numFmtId="166" fontId="9" fillId="0" borderId="0" xfId="0" applyNumberFormat="1" applyFont="1" applyFill="1" applyBorder="1" applyAlignment="1">
      <alignment horizontal="center"/>
    </xf>
    <xf numFmtId="166" fontId="9" fillId="0" borderId="11" xfId="0" applyNumberFormat="1" applyFont="1" applyFill="1" applyBorder="1" applyAlignment="1">
      <alignment horizontal="center"/>
    </xf>
    <xf numFmtId="2" fontId="9" fillId="0" borderId="11" xfId="0" applyNumberFormat="1" applyFont="1" applyFill="1" applyBorder="1" applyAlignment="1">
      <alignment horizontal="left"/>
    </xf>
    <xf numFmtId="0" fontId="12" fillId="0" borderId="11" xfId="0" applyFont="1" applyFill="1" applyBorder="1" applyAlignment="1">
      <alignment horizontal="center"/>
    </xf>
    <xf numFmtId="10" fontId="9" fillId="0" borderId="9" xfId="0" applyNumberFormat="1" applyFont="1" applyFill="1" applyBorder="1" applyAlignment="1">
      <alignment horizontal="center"/>
    </xf>
    <xf numFmtId="2" fontId="9" fillId="0" borderId="9" xfId="0" applyNumberFormat="1" applyFont="1" applyFill="1" applyBorder="1" applyAlignment="1">
      <alignment horizontal="center"/>
    </xf>
    <xf numFmtId="4" fontId="9" fillId="0" borderId="9" xfId="0" applyNumberFormat="1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/>
    </xf>
    <xf numFmtId="4" fontId="12" fillId="0" borderId="3" xfId="0" applyNumberFormat="1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10" fontId="9" fillId="0" borderId="0" xfId="0" applyNumberFormat="1" applyFont="1" applyFill="1"/>
    <xf numFmtId="2" fontId="9" fillId="0" borderId="0" xfId="0" applyNumberFormat="1" applyFont="1" applyFill="1" applyAlignment="1"/>
    <xf numFmtId="0" fontId="14" fillId="0" borderId="0" xfId="0" applyFont="1" applyFill="1" applyAlignment="1">
      <alignment horizontal="center" vertical="center" wrapText="1"/>
    </xf>
    <xf numFmtId="2" fontId="9" fillId="0" borderId="3" xfId="0" applyNumberFormat="1" applyFont="1" applyFill="1" applyBorder="1" applyAlignment="1"/>
    <xf numFmtId="2" fontId="12" fillId="0" borderId="3" xfId="0" applyNumberFormat="1" applyFont="1" applyFill="1" applyBorder="1" applyAlignment="1"/>
    <xf numFmtId="0" fontId="12" fillId="0" borderId="0" xfId="0" applyFont="1" applyFill="1" applyBorder="1"/>
    <xf numFmtId="0" fontId="12" fillId="0" borderId="0" xfId="0" applyFont="1" applyFill="1" applyAlignment="1">
      <alignment horizontal="center"/>
    </xf>
    <xf numFmtId="4" fontId="9" fillId="0" borderId="3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vertical="center" wrapText="1"/>
    </xf>
    <xf numFmtId="2" fontId="11" fillId="0" borderId="3" xfId="0" applyNumberFormat="1" applyFont="1" applyBorder="1" applyAlignment="1">
      <alignment vertical="center" wrapText="1"/>
    </xf>
    <xf numFmtId="2" fontId="11" fillId="0" borderId="3" xfId="0" applyNumberFormat="1" applyFont="1" applyBorder="1" applyAlignment="1">
      <alignment vertical="center"/>
    </xf>
    <xf numFmtId="2" fontId="11" fillId="0" borderId="10" xfId="0" applyNumberFormat="1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2" fontId="2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9" fillId="0" borderId="0" xfId="0" applyNumberFormat="1" applyFont="1" applyFill="1" applyAlignment="1">
      <alignment horizontal="center"/>
    </xf>
    <xf numFmtId="0" fontId="9" fillId="0" borderId="11" xfId="0" applyFont="1" applyFill="1" applyBorder="1" applyAlignment="1"/>
    <xf numFmtId="0" fontId="9" fillId="0" borderId="10" xfId="0" applyFont="1" applyFill="1" applyBorder="1"/>
    <xf numFmtId="2" fontId="9" fillId="0" borderId="21" xfId="0" applyNumberFormat="1" applyFont="1" applyFill="1" applyBorder="1" applyAlignment="1">
      <alignment horizontal="left"/>
    </xf>
    <xf numFmtId="0" fontId="9" fillId="0" borderId="0" xfId="0" applyFont="1" applyFill="1" applyBorder="1"/>
    <xf numFmtId="0" fontId="14" fillId="0" borderId="3" xfId="0" applyNumberFormat="1" applyFont="1" applyFill="1" applyBorder="1" applyAlignment="1">
      <alignment horizontal="center" vertical="center" wrapText="1"/>
    </xf>
    <xf numFmtId="2" fontId="9" fillId="0" borderId="10" xfId="0" applyNumberFormat="1" applyFont="1" applyFill="1" applyBorder="1"/>
    <xf numFmtId="10" fontId="9" fillId="0" borderId="10" xfId="0" applyNumberFormat="1" applyFont="1" applyFill="1" applyBorder="1" applyAlignment="1">
      <alignment horizontal="left"/>
    </xf>
    <xf numFmtId="4" fontId="9" fillId="0" borderId="11" xfId="0" applyNumberFormat="1" applyFont="1" applyFill="1" applyBorder="1" applyAlignment="1"/>
    <xf numFmtId="10" fontId="9" fillId="0" borderId="10" xfId="0" applyNumberFormat="1" applyFont="1" applyFill="1" applyBorder="1" applyAlignment="1">
      <alignment horizontal="center"/>
    </xf>
    <xf numFmtId="4" fontId="9" fillId="0" borderId="10" xfId="0" applyNumberFormat="1" applyFont="1" applyFill="1" applyBorder="1" applyAlignment="1">
      <alignment horizontal="center"/>
    </xf>
    <xf numFmtId="4" fontId="12" fillId="0" borderId="3" xfId="0" applyNumberFormat="1" applyFont="1" applyFill="1" applyBorder="1" applyAlignment="1"/>
    <xf numFmtId="2" fontId="2" fillId="0" borderId="3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 wrapText="1"/>
    </xf>
    <xf numFmtId="2" fontId="14" fillId="0" borderId="3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right" vertical="center" wrapText="1"/>
    </xf>
    <xf numFmtId="10" fontId="2" fillId="0" borderId="3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168" fontId="2" fillId="0" borderId="3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left" vertical="center" wrapText="1"/>
    </xf>
    <xf numFmtId="4" fontId="2" fillId="0" borderId="3" xfId="0" applyNumberFormat="1" applyFont="1" applyFill="1" applyBorder="1" applyAlignment="1">
      <alignment horizontal="left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168" fontId="2" fillId="0" borderId="9" xfId="0" applyNumberFormat="1" applyFont="1" applyFill="1" applyBorder="1" applyAlignment="1">
      <alignment horizontal="right" vertical="center" wrapText="1"/>
    </xf>
    <xf numFmtId="10" fontId="2" fillId="0" borderId="9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  <xf numFmtId="2" fontId="14" fillId="0" borderId="3" xfId="0" applyNumberFormat="1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2" fontId="2" fillId="0" borderId="11" xfId="0" applyNumberFormat="1" applyFont="1" applyFill="1" applyBorder="1" applyAlignment="1">
      <alignment vertical="center" wrapText="1"/>
    </xf>
    <xf numFmtId="2" fontId="2" fillId="0" borderId="10" xfId="0" applyNumberFormat="1" applyFont="1" applyFill="1" applyBorder="1" applyAlignment="1">
      <alignment vertical="center" wrapText="1"/>
    </xf>
    <xf numFmtId="2" fontId="2" fillId="0" borderId="9" xfId="0" applyNumberFormat="1" applyFont="1" applyFill="1" applyBorder="1" applyAlignment="1">
      <alignment vertical="center" wrapText="1"/>
    </xf>
    <xf numFmtId="10" fontId="2" fillId="0" borderId="10" xfId="0" applyNumberFormat="1" applyFont="1" applyFill="1" applyBorder="1" applyAlignment="1">
      <alignment horizontal="center" vertical="center" wrapText="1"/>
    </xf>
    <xf numFmtId="10" fontId="2" fillId="0" borderId="11" xfId="0" applyNumberFormat="1" applyFont="1" applyFill="1" applyBorder="1" applyAlignment="1">
      <alignment horizontal="center" vertical="center" wrapText="1"/>
    </xf>
    <xf numFmtId="10" fontId="14" fillId="0" borderId="3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right" vertical="center" wrapText="1"/>
    </xf>
    <xf numFmtId="2" fontId="14" fillId="0" borderId="0" xfId="0" applyNumberFormat="1" applyFont="1" applyFill="1" applyBorder="1" applyAlignment="1">
      <alignment horizontal="right" vertical="center" wrapText="1"/>
    </xf>
    <xf numFmtId="2" fontId="9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2" fontId="16" fillId="0" borderId="3" xfId="0" applyNumberFormat="1" applyFont="1" applyFill="1" applyBorder="1" applyAlignment="1">
      <alignment horizontal="right" vertical="center" wrapText="1"/>
    </xf>
    <xf numFmtId="10" fontId="14" fillId="0" borderId="10" xfId="0" applyNumberFormat="1" applyFont="1" applyFill="1" applyBorder="1" applyAlignment="1">
      <alignment horizontal="center" vertical="center" wrapText="1"/>
    </xf>
    <xf numFmtId="10" fontId="14" fillId="0" borderId="9" xfId="0" applyNumberFormat="1" applyFont="1" applyFill="1" applyBorder="1" applyAlignment="1">
      <alignment horizontal="center" vertical="center" wrapText="1"/>
    </xf>
    <xf numFmtId="10" fontId="14" fillId="0" borderId="1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/>
    </xf>
    <xf numFmtId="10" fontId="2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5" fillId="0" borderId="10" xfId="0" applyFont="1" applyBorder="1" applyAlignment="1">
      <alignment horizontal="center" vertical="center" wrapText="1"/>
    </xf>
    <xf numFmtId="2" fontId="11" fillId="0" borderId="10" xfId="0" applyNumberFormat="1" applyFont="1" applyBorder="1" applyAlignment="1">
      <alignment horizontal="right" vertical="center" wrapText="1"/>
    </xf>
    <xf numFmtId="2" fontId="11" fillId="0" borderId="0" xfId="0" applyNumberFormat="1" applyFont="1" applyBorder="1" applyAlignment="1">
      <alignment horizontal="right" vertical="center" wrapText="1"/>
    </xf>
    <xf numFmtId="0" fontId="12" fillId="0" borderId="11" xfId="0" applyFont="1" applyFill="1" applyBorder="1"/>
    <xf numFmtId="2" fontId="12" fillId="0" borderId="10" xfId="0" applyNumberFormat="1" applyFont="1" applyFill="1" applyBorder="1" applyAlignment="1">
      <alignment horizontal="center"/>
    </xf>
    <xf numFmtId="168" fontId="9" fillId="0" borderId="10" xfId="0" applyNumberFormat="1" applyFont="1" applyFill="1" applyBorder="1" applyAlignment="1">
      <alignment horizontal="left"/>
    </xf>
    <xf numFmtId="168" fontId="9" fillId="0" borderId="0" xfId="0" applyNumberFormat="1" applyFont="1" applyFill="1" applyBorder="1" applyAlignment="1">
      <alignment horizontal="left"/>
    </xf>
    <xf numFmtId="164" fontId="3" fillId="2" borderId="5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0" fillId="0" borderId="0" xfId="0" applyBorder="1"/>
    <xf numFmtId="0" fontId="9" fillId="0" borderId="1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4" fillId="0" borderId="3" xfId="0" applyFont="1" applyFill="1" applyBorder="1" applyAlignment="1">
      <alignment horizontal="center" vertical="center" wrapText="1"/>
    </xf>
    <xf numFmtId="2" fontId="14" fillId="0" borderId="3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10" fontId="11" fillId="0" borderId="9" xfId="0" applyNumberFormat="1" applyFont="1" applyFill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2" fontId="18" fillId="0" borderId="3" xfId="0" applyNumberFormat="1" applyFont="1" applyFill="1" applyBorder="1" applyAlignment="1">
      <alignment horizontal="right" vertical="center" wrapText="1"/>
    </xf>
    <xf numFmtId="168" fontId="11" fillId="0" borderId="9" xfId="0" applyNumberFormat="1" applyFont="1" applyFill="1" applyBorder="1" applyAlignment="1">
      <alignment horizontal="right" vertical="center" wrapText="1"/>
    </xf>
    <xf numFmtId="2" fontId="11" fillId="0" borderId="9" xfId="0" applyNumberFormat="1" applyFont="1" applyFill="1" applyBorder="1" applyAlignment="1">
      <alignment horizontal="center" vertical="center" wrapText="1"/>
    </xf>
    <xf numFmtId="2" fontId="11" fillId="0" borderId="10" xfId="0" applyNumberFormat="1" applyFont="1" applyFill="1" applyBorder="1" applyAlignment="1">
      <alignment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167" fontId="9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right" vertical="center" wrapText="1"/>
    </xf>
    <xf numFmtId="0" fontId="9" fillId="0" borderId="24" xfId="0" applyFont="1" applyFill="1" applyBorder="1" applyAlignment="1">
      <alignment horizontal="center" vertical="center" wrapText="1"/>
    </xf>
    <xf numFmtId="167" fontId="9" fillId="0" borderId="0" xfId="0" applyNumberFormat="1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168" fontId="2" fillId="0" borderId="0" xfId="0" applyNumberFormat="1" applyFont="1" applyFill="1" applyBorder="1" applyAlignment="1">
      <alignment horizontal="right" vertical="center" wrapText="1"/>
    </xf>
    <xf numFmtId="2" fontId="15" fillId="0" borderId="0" xfId="0" applyNumberFormat="1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/>
    </xf>
    <xf numFmtId="2" fontId="9" fillId="0" borderId="0" xfId="0" applyNumberFormat="1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2" fontId="9" fillId="0" borderId="10" xfId="0" applyNumberFormat="1" applyFont="1" applyFill="1" applyBorder="1" applyAlignment="1">
      <alignment horizontal="left" vertical="center"/>
    </xf>
    <xf numFmtId="2" fontId="9" fillId="0" borderId="11" xfId="0" applyNumberFormat="1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10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/>
    </xf>
    <xf numFmtId="2" fontId="9" fillId="0" borderId="10" xfId="0" applyNumberFormat="1" applyFont="1" applyFill="1" applyBorder="1" applyAlignment="1">
      <alignment horizontal="left"/>
    </xf>
    <xf numFmtId="0" fontId="14" fillId="0" borderId="7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" fontId="9" fillId="0" borderId="10" xfId="0" applyNumberFormat="1" applyFont="1" applyFill="1" applyBorder="1" applyAlignment="1">
      <alignment horizontal="left"/>
    </xf>
    <xf numFmtId="4" fontId="9" fillId="0" borderId="11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2" fontId="14" fillId="0" borderId="2" xfId="0" applyNumberFormat="1" applyFont="1" applyFill="1" applyBorder="1" applyAlignment="1">
      <alignment horizontal="center" vertical="center" wrapText="1"/>
    </xf>
    <xf numFmtId="2" fontId="14" fillId="0" borderId="4" xfId="0" applyNumberFormat="1" applyFont="1" applyFill="1" applyBorder="1" applyAlignment="1">
      <alignment horizontal="center" vertical="center" wrapText="1"/>
    </xf>
    <xf numFmtId="2" fontId="14" fillId="0" borderId="7" xfId="0" applyNumberFormat="1" applyFont="1" applyFill="1" applyBorder="1" applyAlignment="1">
      <alignment horizontal="center" vertical="center" wrapText="1"/>
    </xf>
    <xf numFmtId="2" fontId="14" fillId="0" borderId="6" xfId="0" applyNumberFormat="1" applyFont="1" applyFill="1" applyBorder="1" applyAlignment="1">
      <alignment horizontal="center" vertical="center" wrapText="1"/>
    </xf>
    <xf numFmtId="2" fontId="14" fillId="0" borderId="19" xfId="0" applyNumberFormat="1" applyFont="1" applyFill="1" applyBorder="1" applyAlignment="1">
      <alignment horizontal="center" vertical="center" wrapText="1"/>
    </xf>
    <xf numFmtId="2" fontId="14" fillId="0" borderId="20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2" fontId="14" fillId="0" borderId="2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14" fillId="0" borderId="3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left"/>
    </xf>
    <xf numFmtId="0" fontId="12" fillId="0" borderId="11" xfId="0" applyFont="1" applyFill="1" applyBorder="1" applyAlignment="1">
      <alignment horizontal="left"/>
    </xf>
    <xf numFmtId="2" fontId="9" fillId="0" borderId="11" xfId="0" applyNumberFormat="1" applyFont="1" applyFill="1" applyBorder="1" applyAlignment="1">
      <alignment horizontal="lef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10" fontId="9" fillId="0" borderId="10" xfId="0" applyNumberFormat="1" applyFont="1" applyFill="1" applyBorder="1" applyAlignment="1">
      <alignment horizontal="left"/>
    </xf>
    <xf numFmtId="10" fontId="9" fillId="0" borderId="11" xfId="0" applyNumberFormat="1" applyFont="1" applyFill="1" applyBorder="1" applyAlignment="1">
      <alignment horizontal="left"/>
    </xf>
    <xf numFmtId="0" fontId="14" fillId="0" borderId="2" xfId="0" applyNumberFormat="1" applyFont="1" applyFill="1" applyBorder="1" applyAlignment="1">
      <alignment horizontal="center" vertical="center" wrapText="1"/>
    </xf>
    <xf numFmtId="0" fontId="14" fillId="0" borderId="4" xfId="0" applyNumberFormat="1" applyFont="1" applyFill="1" applyBorder="1" applyAlignment="1">
      <alignment horizontal="center" vertical="center" wrapText="1"/>
    </xf>
    <xf numFmtId="0" fontId="14" fillId="0" borderId="7" xfId="0" applyNumberFormat="1" applyFont="1" applyFill="1" applyBorder="1" applyAlignment="1">
      <alignment horizontal="center" vertical="center" wrapText="1"/>
    </xf>
    <xf numFmtId="0" fontId="14" fillId="0" borderId="6" xfId="0" applyNumberFormat="1" applyFont="1" applyFill="1" applyBorder="1" applyAlignment="1">
      <alignment horizontal="center" vertical="center" wrapText="1"/>
    </xf>
    <xf numFmtId="0" fontId="14" fillId="0" borderId="19" xfId="0" applyNumberFormat="1" applyFont="1" applyFill="1" applyBorder="1" applyAlignment="1">
      <alignment horizontal="center" vertical="center" wrapText="1"/>
    </xf>
    <xf numFmtId="0" fontId="14" fillId="0" borderId="20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2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right" vertical="center" wrapText="1"/>
    </xf>
    <xf numFmtId="0" fontId="12" fillId="0" borderId="19" xfId="0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right" vertical="center" wrapText="1"/>
    </xf>
    <xf numFmtId="0" fontId="12" fillId="0" borderId="25" xfId="0" applyFont="1" applyFill="1" applyBorder="1" applyAlignment="1">
      <alignment horizontal="right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167" fontId="11" fillId="0" borderId="3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10" fontId="2" fillId="0" borderId="10" xfId="0" applyNumberFormat="1" applyFont="1" applyFill="1" applyBorder="1" applyAlignment="1">
      <alignment horizontal="center" vertical="center" wrapText="1"/>
    </xf>
    <xf numFmtId="10" fontId="2" fillId="0" borderId="9" xfId="0" applyNumberFormat="1" applyFont="1" applyFill="1" applyBorder="1" applyAlignment="1">
      <alignment horizontal="center" vertical="center" wrapText="1"/>
    </xf>
    <xf numFmtId="10" fontId="2" fillId="0" borderId="11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2" fontId="11" fillId="0" borderId="10" xfId="0" applyNumberFormat="1" applyFont="1" applyFill="1" applyBorder="1" applyAlignment="1">
      <alignment horizontal="center" vertical="center" wrapText="1"/>
    </xf>
    <xf numFmtId="2" fontId="11" fillId="0" borderId="9" xfId="0" applyNumberFormat="1" applyFont="1" applyFill="1" applyBorder="1" applyAlignment="1">
      <alignment horizontal="center" vertical="center" wrapText="1"/>
    </xf>
    <xf numFmtId="2" fontId="11" fillId="0" borderId="11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168" fontId="11" fillId="0" borderId="10" xfId="0" applyNumberFormat="1" applyFont="1" applyFill="1" applyBorder="1" applyAlignment="1">
      <alignment horizontal="center" vertical="center" wrapText="1"/>
    </xf>
    <xf numFmtId="168" fontId="11" fillId="0" borderId="9" xfId="0" applyNumberFormat="1" applyFont="1" applyFill="1" applyBorder="1" applyAlignment="1">
      <alignment horizontal="center" vertical="center" wrapText="1"/>
    </xf>
    <xf numFmtId="2" fontId="11" fillId="0" borderId="9" xfId="0" applyNumberFormat="1" applyFont="1" applyFill="1" applyBorder="1" applyAlignment="1">
      <alignment horizontal="left" vertical="center" wrapText="1"/>
    </xf>
    <xf numFmtId="2" fontId="11" fillId="0" borderId="11" xfId="0" applyNumberFormat="1" applyFont="1" applyFill="1" applyBorder="1" applyAlignment="1">
      <alignment horizontal="left" vertical="center" wrapText="1"/>
    </xf>
    <xf numFmtId="10" fontId="11" fillId="0" borderId="10" xfId="0" applyNumberFormat="1" applyFont="1" applyFill="1" applyBorder="1" applyAlignment="1">
      <alignment horizontal="center" vertical="center" wrapText="1"/>
    </xf>
    <xf numFmtId="10" fontId="11" fillId="0" borderId="9" xfId="0" applyNumberFormat="1" applyFont="1" applyFill="1" applyBorder="1" applyAlignment="1">
      <alignment horizontal="center" vertical="center" wrapText="1"/>
    </xf>
    <xf numFmtId="10" fontId="11" fillId="0" borderId="11" xfId="0" applyNumberFormat="1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9" fontId="2" fillId="0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left" vertical="center" wrapText="1"/>
    </xf>
    <xf numFmtId="10" fontId="14" fillId="0" borderId="10" xfId="0" applyNumberFormat="1" applyFont="1" applyFill="1" applyBorder="1" applyAlignment="1">
      <alignment horizontal="center" vertical="center" wrapText="1"/>
    </xf>
    <xf numFmtId="10" fontId="14" fillId="0" borderId="9" xfId="0" applyNumberFormat="1" applyFont="1" applyFill="1" applyBorder="1" applyAlignment="1">
      <alignment horizontal="center" vertical="center" wrapText="1"/>
    </xf>
    <xf numFmtId="10" fontId="14" fillId="0" borderId="1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4" fontId="2" fillId="0" borderId="10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167" fontId="11" fillId="0" borderId="2" xfId="0" applyNumberFormat="1" applyFont="1" applyFill="1" applyBorder="1" applyAlignment="1">
      <alignment horizontal="center" vertical="center" wrapText="1"/>
    </xf>
    <xf numFmtId="167" fontId="11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2" fontId="9" fillId="0" borderId="0" xfId="0" applyNumberFormat="1" applyFont="1" applyFill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2" fontId="14" fillId="0" borderId="2" xfId="0" applyNumberFormat="1" applyFont="1" applyFill="1" applyBorder="1" applyAlignment="1">
      <alignment horizontal="center" vertical="center"/>
    </xf>
    <xf numFmtId="2" fontId="14" fillId="0" borderId="4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2" fontId="14" fillId="0" borderId="6" xfId="0" applyNumberFormat="1" applyFont="1" applyFill="1" applyBorder="1" applyAlignment="1">
      <alignment horizontal="center" vertical="center"/>
    </xf>
    <xf numFmtId="2" fontId="14" fillId="0" borderId="19" xfId="0" applyNumberFormat="1" applyFont="1" applyFill="1" applyBorder="1" applyAlignment="1">
      <alignment horizontal="center" vertical="center"/>
    </xf>
    <xf numFmtId="2" fontId="14" fillId="0" borderId="20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2" fontId="14" fillId="0" borderId="21" xfId="0" applyNumberFormat="1" applyFont="1" applyFill="1" applyBorder="1" applyAlignment="1">
      <alignment horizontal="center" vertical="center"/>
    </xf>
    <xf numFmtId="2" fontId="14" fillId="0" borderId="3" xfId="0" applyNumberFormat="1" applyFont="1" applyFill="1" applyBorder="1" applyAlignment="1">
      <alignment horizontal="center" vertical="center"/>
    </xf>
    <xf numFmtId="2" fontId="9" fillId="0" borderId="10" xfId="0" applyNumberFormat="1" applyFont="1" applyFill="1" applyBorder="1" applyAlignment="1">
      <alignment horizontal="center"/>
    </xf>
    <xf numFmtId="2" fontId="9" fillId="0" borderId="11" xfId="0" applyNumberFormat="1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&#1052;&#1086;&#1080;%20&#1076;&#1086;&#1082;&#1091;&#1084;&#1077;&#1085;&#1090;&#1099;/Downloads/&#1072;&#1074;&#1090;&#1086;&#1091;&#1089;&#1083;&#1091;&#1075;&#1080;/1.&#1040;&#1074;&#1090;&#1086;&#1091;&#1089;&#1083;&#1091;&#1075;&#1080;2013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ранспорт "/>
      <sheetName val="Лист4"/>
      <sheetName val="Лист2"/>
      <sheetName val="ГАЗ 3307 фургон"/>
      <sheetName val="пробег 3307"/>
      <sheetName val="ГАЗ 430100"/>
      <sheetName val="пробег ГАЗ 430100"/>
      <sheetName val="УАЗ"/>
      <sheetName val="пробег УАЗ"/>
      <sheetName val="Нива"/>
      <sheetName val="пробег Нива"/>
      <sheetName val="МАЗ самосвал"/>
      <sheetName val="пробег МАЗ"/>
      <sheetName val="Автокран Урал"/>
      <sheetName val="Автокран Урал (4)"/>
      <sheetName val="1 ЧАС АВТОКРАНА"/>
      <sheetName val="пробег УРАЛ "/>
      <sheetName val="АСМ ГАЗ 53"/>
      <sheetName val="пробег АСМ 53"/>
      <sheetName val="АСМ ГАЗ 3307"/>
      <sheetName val="пробег 3307(АСМ)"/>
      <sheetName val="АСМ ГАЗ 3307 (3)"/>
      <sheetName val="АСМ ГАЗ-3309"/>
      <sheetName val="пробег 3309"/>
      <sheetName val=" ЗИЛ 3309. (2)"/>
      <sheetName val=" ЗИЛ 3309."/>
      <sheetName val="Лист1"/>
      <sheetName val="пробег 3309 (ЗИЛ)"/>
      <sheetName val="снегоуборочная"/>
      <sheetName val="расчет ПСС 7525"/>
      <sheetName val="расчет ПСС 7525 (2)"/>
      <sheetName val="полив (дневной)"/>
      <sheetName val="полив (ночные) (2)"/>
      <sheetName val="Лист3"/>
      <sheetName val="полив 1 бочка"/>
      <sheetName val="снегоубор. без ГСМ"/>
      <sheetName val="плановый пробег"/>
      <sheetName val="Экскаватор ЮМЗ 2621"/>
      <sheetName val="пробег 2621"/>
      <sheetName val="Экскаватор ЭО 2626"/>
      <sheetName val="пробег 2626"/>
      <sheetName val="Трактор МТЗ 80"/>
      <sheetName val="Трактор МТЗ 80 (2)"/>
      <sheetName val="пробег МТЗ 80"/>
      <sheetName val="Автогрейдер ДЗ 180"/>
      <sheetName val="пробег ДЗ 180"/>
      <sheetName val="Т-25"/>
      <sheetName val="пробег Т-25"/>
      <sheetName val="САГ"/>
      <sheetName val="пробег САГ"/>
      <sheetName val="Процент общехоз."/>
      <sheetName val="затраты"/>
      <sheetName val="нормы списания "/>
      <sheetName val="ГАЗ31029Волга"/>
      <sheetName val="ГАЗ 3307 мусоровоз"/>
      <sheetName val="ПМ 130"/>
      <sheetName val="ПМ 130 без топлива"/>
      <sheetName val="Автогидроподъемник АГП 2204"/>
      <sheetName val="Бульдозер Т 170"/>
      <sheetName val="Автокран Урал (2)"/>
      <sheetName val="Автокран Урал (3)"/>
      <sheetName val="ст.Дмитриевской АСМ Газ 3307"/>
      <sheetName val="ст.Дмитриевской АСМ Газ 330 (2)"/>
      <sheetName val="Автогрейдер ДЗ 180 (2)"/>
      <sheetName val="Автогрейдер ДЗ 180 Темижбекская"/>
      <sheetName val="ст.Привольный   АСМ Газ 330 (3)"/>
      <sheetName val="ст.Тбилисская   АСМ Газ 330 (4)"/>
      <sheetName val=" ЗИЛ 3309. (3)"/>
      <sheetName val="газонокосилка"/>
      <sheetName val="газонокосилка (2)"/>
      <sheetName val="компрессор"/>
      <sheetName val="подметание щеткой КО 829"/>
      <sheetName val="расчет ПСС 7525темежб."/>
      <sheetName val="Казначейство"/>
      <sheetName val="Казанская"/>
      <sheetName val="КЦСО Кропоткин"/>
      <sheetName val="Мукерия"/>
      <sheetName val="Мукерия ночь"/>
      <sheetName val="Угольный склад"/>
      <sheetName val="Кальк. №1"/>
      <sheetName val="Кальк. №2"/>
      <sheetName val="Кальк. №3"/>
      <sheetName val="Компрессор в выходной"/>
      <sheetName val="Лист5"/>
    </sheetNames>
    <sheetDataSet>
      <sheetData sheetId="0" refreshError="1"/>
      <sheetData sheetId="1" refreshError="1"/>
      <sheetData sheetId="2" refreshError="1">
        <row r="71">
          <cell r="E71">
            <v>1201.515525</v>
          </cell>
        </row>
        <row r="72">
          <cell r="E72">
            <v>572.15025000000003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>
        <row r="24">
          <cell r="E24">
            <v>0</v>
          </cell>
        </row>
      </sheetData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78"/>
  <sheetViews>
    <sheetView workbookViewId="0">
      <selection activeCell="L3" sqref="L3"/>
    </sheetView>
  </sheetViews>
  <sheetFormatPr defaultRowHeight="15" x14ac:dyDescent="0.25"/>
  <cols>
    <col min="1" max="1" width="3.42578125" customWidth="1"/>
    <col min="2" max="2" width="24.42578125" customWidth="1"/>
    <col min="3" max="3" width="9.140625" customWidth="1"/>
    <col min="4" max="4" width="11.28515625" customWidth="1"/>
    <col min="5" max="5" width="10.28515625" customWidth="1"/>
    <col min="6" max="6" width="11" customWidth="1"/>
    <col min="7" max="7" width="10.85546875" customWidth="1"/>
    <col min="8" max="8" width="8.5703125" customWidth="1"/>
  </cols>
  <sheetData>
    <row r="1" spans="1:8" ht="30.75" customHeight="1" x14ac:dyDescent="0.25">
      <c r="A1" s="317" t="s">
        <v>444</v>
      </c>
      <c r="B1" s="317"/>
      <c r="C1" s="317"/>
      <c r="D1" s="317"/>
      <c r="E1" s="317"/>
      <c r="F1" s="317"/>
      <c r="G1" s="317"/>
      <c r="H1" s="1"/>
    </row>
    <row r="2" spans="1:8" x14ac:dyDescent="0.25">
      <c r="A2" s="316" t="s">
        <v>455</v>
      </c>
      <c r="B2" s="316"/>
      <c r="C2" s="316"/>
      <c r="D2" s="316"/>
      <c r="E2" s="316"/>
      <c r="F2" s="316"/>
      <c r="G2" s="316"/>
      <c r="H2" s="3"/>
    </row>
    <row r="3" spans="1:8" ht="25.5" customHeight="1" x14ac:dyDescent="0.25">
      <c r="A3" s="316"/>
      <c r="B3" s="316"/>
      <c r="C3" s="316"/>
      <c r="D3" s="316"/>
      <c r="E3" s="316"/>
      <c r="F3" s="316"/>
      <c r="G3" s="316"/>
      <c r="H3" s="3"/>
    </row>
    <row r="4" spans="1:8" ht="27" customHeight="1" x14ac:dyDescent="0.25">
      <c r="A4" s="316" t="s">
        <v>0</v>
      </c>
      <c r="B4" s="316"/>
      <c r="C4" s="316"/>
      <c r="D4" s="316"/>
      <c r="E4" s="316"/>
      <c r="F4" s="316"/>
      <c r="G4" s="316"/>
      <c r="H4" s="3"/>
    </row>
    <row r="5" spans="1:8" x14ac:dyDescent="0.25">
      <c r="A5" s="318" t="s">
        <v>1</v>
      </c>
      <c r="B5" s="318"/>
      <c r="C5" s="318"/>
      <c r="D5" s="318"/>
      <c r="E5" s="318"/>
      <c r="F5" s="318"/>
      <c r="G5" s="318"/>
      <c r="H5" s="4"/>
    </row>
    <row r="6" spans="1:8" x14ac:dyDescent="0.25">
      <c r="A6" s="2"/>
      <c r="B6" s="3"/>
      <c r="C6" s="319" t="s">
        <v>133</v>
      </c>
      <c r="D6" s="319"/>
      <c r="E6" s="319"/>
      <c r="F6" s="5">
        <f>164*6*11</f>
        <v>10824</v>
      </c>
      <c r="G6" s="3" t="s">
        <v>2</v>
      </c>
      <c r="H6" s="3"/>
    </row>
    <row r="7" spans="1:8" x14ac:dyDescent="0.25">
      <c r="A7" s="318" t="s">
        <v>3</v>
      </c>
      <c r="B7" s="318"/>
      <c r="C7" s="318"/>
      <c r="D7" s="318"/>
      <c r="E7" s="318"/>
      <c r="F7" s="318"/>
      <c r="G7" s="318"/>
      <c r="H7" s="4"/>
    </row>
    <row r="8" spans="1:8" x14ac:dyDescent="0.25">
      <c r="A8" s="2"/>
      <c r="B8" s="3"/>
      <c r="C8" s="319" t="s">
        <v>132</v>
      </c>
      <c r="D8" s="319"/>
      <c r="E8" s="319"/>
      <c r="F8" s="5">
        <f>164*3*11</f>
        <v>5412</v>
      </c>
      <c r="G8" s="3" t="s">
        <v>4</v>
      </c>
      <c r="H8" s="3"/>
    </row>
    <row r="9" spans="1:8" x14ac:dyDescent="0.25">
      <c r="A9" s="2"/>
      <c r="B9" s="2"/>
      <c r="C9" s="6"/>
      <c r="D9" s="2"/>
      <c r="E9" s="6"/>
      <c r="F9" s="7"/>
      <c r="G9" s="2"/>
      <c r="H9" s="2"/>
    </row>
    <row r="10" spans="1:8" x14ac:dyDescent="0.25">
      <c r="A10" s="2"/>
      <c r="B10" s="318" t="s">
        <v>5</v>
      </c>
      <c r="C10" s="318"/>
      <c r="D10" s="318"/>
      <c r="E10" s="318"/>
      <c r="F10" s="318"/>
      <c r="G10" s="318"/>
      <c r="H10" s="318"/>
    </row>
    <row r="11" spans="1:8" ht="24" x14ac:dyDescent="0.25">
      <c r="A11" s="2"/>
      <c r="B11" s="2"/>
      <c r="C11" s="8">
        <f>F6</f>
        <v>10824</v>
      </c>
      <c r="D11" s="4" t="s">
        <v>6</v>
      </c>
      <c r="E11" s="98" t="s">
        <v>454</v>
      </c>
      <c r="F11" s="5">
        <f>C11/13</f>
        <v>832.61538461538464</v>
      </c>
      <c r="G11" s="3" t="s">
        <v>7</v>
      </c>
      <c r="H11" s="2"/>
    </row>
    <row r="12" spans="1:8" x14ac:dyDescent="0.25">
      <c r="A12" s="2"/>
      <c r="B12" s="318" t="s">
        <v>8</v>
      </c>
      <c r="C12" s="318"/>
      <c r="D12" s="318"/>
      <c r="E12" s="318"/>
      <c r="F12" s="318"/>
      <c r="G12" s="318"/>
      <c r="H12" s="318"/>
    </row>
    <row r="13" spans="1:8" x14ac:dyDescent="0.25">
      <c r="A13" s="2"/>
      <c r="B13" s="2"/>
      <c r="C13" s="8">
        <f>F8</f>
        <v>5412</v>
      </c>
      <c r="D13" s="3" t="s">
        <v>6</v>
      </c>
      <c r="E13" s="8" t="s">
        <v>9</v>
      </c>
      <c r="F13" s="5">
        <f>C13/8</f>
        <v>676.5</v>
      </c>
      <c r="G13" s="3" t="s">
        <v>7</v>
      </c>
      <c r="H13" s="2"/>
    </row>
    <row r="14" spans="1:8" x14ac:dyDescent="0.25">
      <c r="A14" s="2"/>
      <c r="B14" s="2"/>
      <c r="C14" s="6"/>
      <c r="D14" s="2"/>
      <c r="E14" s="6"/>
      <c r="F14" s="7"/>
      <c r="G14" s="2"/>
      <c r="H14" s="2"/>
    </row>
    <row r="15" spans="1:8" x14ac:dyDescent="0.25">
      <c r="A15" s="316" t="s">
        <v>10</v>
      </c>
      <c r="B15" s="316"/>
      <c r="C15" s="316"/>
      <c r="D15" s="316"/>
      <c r="E15" s="316"/>
      <c r="F15" s="316"/>
      <c r="G15" s="316"/>
      <c r="H15" s="3"/>
    </row>
    <row r="16" spans="1:8" x14ac:dyDescent="0.25">
      <c r="A16" s="316" t="s">
        <v>11</v>
      </c>
      <c r="B16" s="316"/>
      <c r="C16" s="316"/>
      <c r="D16" s="316"/>
      <c r="E16" s="316"/>
      <c r="F16" s="316"/>
      <c r="G16" s="316"/>
      <c r="H16" s="3"/>
    </row>
    <row r="17" spans="1:20" x14ac:dyDescent="0.25">
      <c r="A17" s="316" t="s">
        <v>12</v>
      </c>
      <c r="B17" s="316"/>
      <c r="C17" s="316"/>
      <c r="D17" s="316"/>
      <c r="E17" s="316"/>
      <c r="F17" s="5"/>
      <c r="G17" s="3"/>
      <c r="H17" s="2"/>
    </row>
    <row r="18" spans="1:20" x14ac:dyDescent="0.25">
      <c r="A18" s="2"/>
      <c r="B18" s="9"/>
      <c r="C18" s="10"/>
      <c r="D18" s="320"/>
      <c r="E18" s="320"/>
      <c r="F18" s="11" t="s">
        <v>13</v>
      </c>
      <c r="G18" s="2"/>
      <c r="H18" s="2"/>
    </row>
    <row r="19" spans="1:20" ht="24.75" customHeight="1" x14ac:dyDescent="0.25">
      <c r="A19" s="2"/>
      <c r="B19" s="321" t="s">
        <v>445</v>
      </c>
      <c r="C19" s="321"/>
      <c r="D19" s="321"/>
      <c r="E19" s="321"/>
      <c r="F19" s="321"/>
      <c r="G19" s="12"/>
      <c r="H19" s="2"/>
    </row>
    <row r="20" spans="1:20" x14ac:dyDescent="0.25">
      <c r="A20" s="322" t="s">
        <v>14</v>
      </c>
      <c r="B20" s="322" t="s">
        <v>15</v>
      </c>
      <c r="C20" s="324" t="s">
        <v>16</v>
      </c>
      <c r="D20" s="324"/>
      <c r="E20" s="324"/>
      <c r="F20" s="325" t="s">
        <v>17</v>
      </c>
      <c r="G20" s="13"/>
      <c r="H20" s="14"/>
    </row>
    <row r="21" spans="1:20" ht="52.5" x14ac:dyDescent="0.25">
      <c r="A21" s="323"/>
      <c r="B21" s="323"/>
      <c r="C21" s="15" t="s">
        <v>18</v>
      </c>
      <c r="D21" s="16" t="s">
        <v>19</v>
      </c>
      <c r="E21" s="16" t="s">
        <v>20</v>
      </c>
      <c r="F21" s="326"/>
      <c r="G21" s="14"/>
      <c r="H21" s="14"/>
    </row>
    <row r="22" spans="1:20" ht="22.5" customHeight="1" x14ac:dyDescent="0.25">
      <c r="A22" s="17">
        <v>1</v>
      </c>
      <c r="B22" s="275" t="s">
        <v>21</v>
      </c>
      <c r="C22" s="274">
        <f>G22/$H$22*100</f>
        <v>7.5049714897589954</v>
      </c>
      <c r="D22" s="20"/>
      <c r="E22" s="21"/>
      <c r="F22" s="21">
        <f>($F$6-$E$32)/100*C22+E22</f>
        <v>691.17034934935464</v>
      </c>
      <c r="G22" s="2">
        <v>14228</v>
      </c>
      <c r="H22" s="316">
        <f>24618+11804+8594+31447+59956+6209+14623+9606+7630+321+545+14228</f>
        <v>189581</v>
      </c>
      <c r="I22" s="316"/>
      <c r="J22" s="316"/>
      <c r="K22" s="316"/>
      <c r="L22" s="316"/>
      <c r="M22" s="316"/>
      <c r="N22" s="316"/>
      <c r="O22" s="316"/>
      <c r="P22" s="316"/>
      <c r="Q22" s="316"/>
      <c r="R22" s="316"/>
      <c r="S22" s="316"/>
      <c r="T22" s="316"/>
    </row>
    <row r="23" spans="1:20" x14ac:dyDescent="0.25">
      <c r="A23" s="17">
        <v>2</v>
      </c>
      <c r="B23" s="275" t="s">
        <v>22</v>
      </c>
      <c r="C23" s="274">
        <f t="shared" ref="C23:C31" si="0">G23/$H$22*100</f>
        <v>12.98547850259256</v>
      </c>
      <c r="D23" s="20"/>
      <c r="E23" s="21"/>
      <c r="F23" s="21">
        <f t="shared" ref="F23:F31" si="1">($F$6-$E$32)/100*C23+E23</f>
        <v>1195.8976426962618</v>
      </c>
      <c r="G23" s="2">
        <v>24618</v>
      </c>
      <c r="H23" s="2"/>
    </row>
    <row r="24" spans="1:20" x14ac:dyDescent="0.25">
      <c r="A24" s="17">
        <v>3</v>
      </c>
      <c r="B24" s="275" t="s">
        <v>23</v>
      </c>
      <c r="C24" s="274">
        <f t="shared" si="0"/>
        <v>21.120787420680344</v>
      </c>
      <c r="D24" s="20"/>
      <c r="E24" s="21"/>
      <c r="F24" s="21">
        <f t="shared" si="1"/>
        <v>1945.1189175075563</v>
      </c>
      <c r="G24" s="2">
        <f>8594+31447</f>
        <v>40041</v>
      </c>
      <c r="H24" s="2"/>
      <c r="J24" s="277"/>
      <c r="K24" s="39"/>
    </row>
    <row r="25" spans="1:20" x14ac:dyDescent="0.25">
      <c r="A25" s="17">
        <v>4</v>
      </c>
      <c r="B25" s="275" t="s">
        <v>24</v>
      </c>
      <c r="C25" s="274">
        <f t="shared" si="0"/>
        <v>31.626059573480465</v>
      </c>
      <c r="D25" s="20"/>
      <c r="E25" s="21"/>
      <c r="F25" s="21">
        <f t="shared" si="1"/>
        <v>2912.6019564196836</v>
      </c>
      <c r="G25" s="2">
        <v>59957</v>
      </c>
      <c r="H25" s="2"/>
      <c r="J25" s="277"/>
      <c r="K25" s="39"/>
    </row>
    <row r="26" spans="1:20" x14ac:dyDescent="0.25">
      <c r="A26" s="17">
        <v>5</v>
      </c>
      <c r="B26" s="275" t="s">
        <v>25</v>
      </c>
      <c r="C26" s="274">
        <f t="shared" si="0"/>
        <v>5.0669634615283172</v>
      </c>
      <c r="D26" s="20"/>
      <c r="E26" s="21"/>
      <c r="F26" s="21">
        <f t="shared" si="1"/>
        <v>466.64199998945037</v>
      </c>
      <c r="G26" s="2">
        <v>9606</v>
      </c>
      <c r="H26" s="2"/>
      <c r="J26" s="277"/>
      <c r="K26" s="39"/>
    </row>
    <row r="27" spans="1:20" x14ac:dyDescent="0.25">
      <c r="A27" s="17">
        <v>6</v>
      </c>
      <c r="B27" s="275" t="s">
        <v>26</v>
      </c>
      <c r="C27" s="274">
        <f t="shared" si="0"/>
        <v>0</v>
      </c>
      <c r="D27" s="20">
        <v>0</v>
      </c>
      <c r="E27" s="21">
        <f>D27*30/60</f>
        <v>0</v>
      </c>
      <c r="F27" s="21">
        <f t="shared" si="1"/>
        <v>0</v>
      </c>
      <c r="G27" s="2"/>
      <c r="H27" s="2"/>
      <c r="J27" s="277"/>
      <c r="K27" s="39"/>
    </row>
    <row r="28" spans="1:20" x14ac:dyDescent="0.25">
      <c r="A28" s="17">
        <v>7</v>
      </c>
      <c r="B28" s="275" t="s">
        <v>27</v>
      </c>
      <c r="C28" s="274">
        <f t="shared" si="0"/>
        <v>7.7133257024701845</v>
      </c>
      <c r="D28" s="20">
        <v>1274</v>
      </c>
      <c r="E28" s="21">
        <f>D28*30/60</f>
        <v>637</v>
      </c>
      <c r="F28" s="21">
        <f t="shared" si="1"/>
        <v>1347.3587305689916</v>
      </c>
      <c r="G28" s="2">
        <v>14623</v>
      </c>
      <c r="H28" s="2"/>
      <c r="J28" s="278"/>
      <c r="K28" s="278"/>
    </row>
    <row r="29" spans="1:20" ht="24" x14ac:dyDescent="0.25">
      <c r="A29" s="17">
        <v>8</v>
      </c>
      <c r="B29" s="275" t="s">
        <v>28</v>
      </c>
      <c r="C29" s="274">
        <f t="shared" si="0"/>
        <v>6.2263623464376705</v>
      </c>
      <c r="D29" s="20">
        <v>1555</v>
      </c>
      <c r="E29" s="21">
        <f>D29*30/60</f>
        <v>777.5</v>
      </c>
      <c r="F29" s="21">
        <f t="shared" si="1"/>
        <v>1350.9168402951773</v>
      </c>
      <c r="G29" s="2">
        <v>11804</v>
      </c>
      <c r="H29" s="2"/>
    </row>
    <row r="30" spans="1:20" ht="24" x14ac:dyDescent="0.25">
      <c r="A30" s="17">
        <v>9</v>
      </c>
      <c r="B30" s="275" t="s">
        <v>29</v>
      </c>
      <c r="C30" s="274">
        <f t="shared" si="0"/>
        <v>3.2751172322120889</v>
      </c>
      <c r="D30" s="20">
        <v>226</v>
      </c>
      <c r="E30" s="21">
        <f>D30*30/60</f>
        <v>113</v>
      </c>
      <c r="F30" s="21">
        <f t="shared" si="1"/>
        <v>414.62192150057234</v>
      </c>
      <c r="G30" s="2">
        <v>6209</v>
      </c>
      <c r="H30" s="2"/>
    </row>
    <row r="31" spans="1:20" ht="24" x14ac:dyDescent="0.25">
      <c r="A31" s="17">
        <v>10</v>
      </c>
      <c r="B31" s="276" t="s">
        <v>393</v>
      </c>
      <c r="C31" s="274">
        <f t="shared" si="0"/>
        <v>4.480934270839378</v>
      </c>
      <c r="D31" s="20">
        <v>174</v>
      </c>
      <c r="E31" s="21">
        <f>D31*30/60</f>
        <v>87</v>
      </c>
      <c r="F31" s="21">
        <f t="shared" si="1"/>
        <v>499.67164167295249</v>
      </c>
      <c r="G31" s="2">
        <f>7630+321+544</f>
        <v>8495</v>
      </c>
      <c r="H31" s="2"/>
    </row>
    <row r="32" spans="1:20" x14ac:dyDescent="0.25">
      <c r="A32" s="327" t="s">
        <v>31</v>
      </c>
      <c r="B32" s="327"/>
      <c r="C32" s="22">
        <f>SUM(C22:C31)</f>
        <v>100</v>
      </c>
      <c r="D32" s="20">
        <f>SUM(D27:D31)</f>
        <v>3229</v>
      </c>
      <c r="E32" s="21">
        <f>SUM(E27:E31)</f>
        <v>1614.5</v>
      </c>
      <c r="F32" s="21">
        <f>SUM(F22:F31)</f>
        <v>10824.000000000002</v>
      </c>
      <c r="G32" s="2">
        <f>SUM(G22:G31)</f>
        <v>189581</v>
      </c>
      <c r="H32" s="2"/>
    </row>
    <row r="33" spans="1:8" x14ac:dyDescent="0.25">
      <c r="A33" s="328" t="s">
        <v>406</v>
      </c>
      <c r="B33" s="328"/>
      <c r="C33" s="328"/>
      <c r="D33" s="328"/>
      <c r="E33" s="328"/>
      <c r="F33" s="328"/>
      <c r="G33" s="14"/>
      <c r="H33" s="14"/>
    </row>
    <row r="34" spans="1:8" ht="16.5" customHeight="1" x14ac:dyDescent="0.25">
      <c r="A34" s="329" t="s">
        <v>59</v>
      </c>
      <c r="B34" s="329"/>
      <c r="C34" s="329"/>
      <c r="D34" s="329"/>
      <c r="E34" s="329"/>
      <c r="F34" s="329"/>
      <c r="G34" s="14"/>
      <c r="H34" s="14"/>
    </row>
    <row r="35" spans="1:8" x14ac:dyDescent="0.25">
      <c r="A35" s="318" t="s">
        <v>441</v>
      </c>
      <c r="B35" s="318"/>
      <c r="C35" s="318"/>
      <c r="D35" s="318"/>
      <c r="E35" s="318"/>
      <c r="F35" s="318"/>
      <c r="G35" s="318"/>
      <c r="H35" s="14"/>
    </row>
    <row r="36" spans="1:8" x14ac:dyDescent="0.25">
      <c r="A36" s="318" t="s">
        <v>443</v>
      </c>
      <c r="B36" s="318"/>
      <c r="C36" s="318"/>
      <c r="D36" s="318"/>
      <c r="E36" s="318"/>
      <c r="F36" s="318"/>
      <c r="G36" s="14"/>
      <c r="H36" s="14"/>
    </row>
    <row r="37" spans="1:8" x14ac:dyDescent="0.25">
      <c r="A37" s="23"/>
      <c r="B37" s="23"/>
      <c r="C37" s="23"/>
      <c r="D37" s="23"/>
      <c r="E37" s="23"/>
      <c r="F37" s="23"/>
      <c r="G37" s="14"/>
      <c r="H37" s="14"/>
    </row>
    <row r="38" spans="1:8" ht="36.75" customHeight="1" x14ac:dyDescent="0.25">
      <c r="A38" s="330" t="s">
        <v>408</v>
      </c>
      <c r="B38" s="330"/>
      <c r="C38" s="330"/>
      <c r="D38" s="330"/>
      <c r="E38" s="330"/>
      <c r="F38" s="330"/>
      <c r="G38" s="330"/>
      <c r="H38" s="14"/>
    </row>
    <row r="39" spans="1:8" ht="14.25" customHeight="1" x14ac:dyDescent="0.25">
      <c r="A39" s="14"/>
      <c r="B39" s="24"/>
      <c r="C39" s="24"/>
      <c r="D39" s="24"/>
      <c r="F39" s="24"/>
      <c r="G39" s="14"/>
      <c r="H39" s="14"/>
    </row>
    <row r="40" spans="1:8" x14ac:dyDescent="0.25">
      <c r="A40" s="321" t="s">
        <v>442</v>
      </c>
      <c r="B40" s="321"/>
      <c r="C40" s="321"/>
      <c r="D40" s="321"/>
      <c r="E40" s="321"/>
      <c r="F40" s="11" t="s">
        <v>32</v>
      </c>
      <c r="G40" s="25"/>
      <c r="H40" s="14"/>
    </row>
    <row r="41" spans="1:8" x14ac:dyDescent="0.25">
      <c r="A41" s="331" t="s">
        <v>14</v>
      </c>
      <c r="B41" s="333" t="s">
        <v>33</v>
      </c>
      <c r="C41" s="335" t="s">
        <v>34</v>
      </c>
      <c r="D41" s="324" t="s">
        <v>16</v>
      </c>
      <c r="E41" s="324"/>
      <c r="F41" s="26"/>
      <c r="G41" s="13"/>
      <c r="H41" s="14"/>
    </row>
    <row r="42" spans="1:8" ht="42" x14ac:dyDescent="0.25">
      <c r="A42" s="332"/>
      <c r="B42" s="334"/>
      <c r="C42" s="323"/>
      <c r="D42" s="27" t="s">
        <v>35</v>
      </c>
      <c r="E42" s="28" t="s">
        <v>17</v>
      </c>
      <c r="F42" s="14"/>
      <c r="G42" s="14"/>
      <c r="H42" s="14"/>
    </row>
    <row r="43" spans="1:8" x14ac:dyDescent="0.25">
      <c r="A43" s="29">
        <v>1</v>
      </c>
      <c r="B43" s="30" t="s">
        <v>36</v>
      </c>
      <c r="C43" s="29">
        <v>2</v>
      </c>
      <c r="D43" s="19">
        <f>F22+F23</f>
        <v>1887.0679920456164</v>
      </c>
      <c r="E43" s="21">
        <f>D43/C43</f>
        <v>943.5339960228082</v>
      </c>
      <c r="F43" s="14"/>
      <c r="G43" s="14"/>
      <c r="H43" s="14"/>
    </row>
    <row r="44" spans="1:8" x14ac:dyDescent="0.25">
      <c r="A44" s="29">
        <v>2</v>
      </c>
      <c r="B44" s="30" t="s">
        <v>37</v>
      </c>
      <c r="C44" s="29">
        <v>3</v>
      </c>
      <c r="D44" s="22">
        <f>F27+F28+F29</f>
        <v>2698.2755708641689</v>
      </c>
      <c r="E44" s="21">
        <f t="shared" ref="E44:E49" si="2">D44/C44</f>
        <v>899.42519028805634</v>
      </c>
      <c r="F44" s="14"/>
      <c r="G44" s="14"/>
      <c r="H44" s="14"/>
    </row>
    <row r="45" spans="1:8" ht="24" x14ac:dyDescent="0.25">
      <c r="A45" s="29">
        <v>3</v>
      </c>
      <c r="B45" s="30" t="s">
        <v>29</v>
      </c>
      <c r="C45" s="29">
        <v>1</v>
      </c>
      <c r="D45" s="22">
        <f>F30</f>
        <v>414.62192150057234</v>
      </c>
      <c r="E45" s="21">
        <f t="shared" si="2"/>
        <v>414.62192150057234</v>
      </c>
      <c r="F45" s="14"/>
      <c r="G45" s="14"/>
      <c r="H45" s="14"/>
    </row>
    <row r="46" spans="1:8" x14ac:dyDescent="0.25">
      <c r="A46" s="29">
        <v>4</v>
      </c>
      <c r="B46" s="30" t="s">
        <v>23</v>
      </c>
      <c r="C46" s="29">
        <v>1</v>
      </c>
      <c r="D46" s="22">
        <f>F24</f>
        <v>1945.1189175075563</v>
      </c>
      <c r="E46" s="21">
        <f t="shared" si="2"/>
        <v>1945.1189175075563</v>
      </c>
      <c r="F46" s="14"/>
      <c r="G46" s="14"/>
      <c r="H46" s="14"/>
    </row>
    <row r="47" spans="1:8" x14ac:dyDescent="0.25">
      <c r="A47" s="29">
        <v>5</v>
      </c>
      <c r="B47" s="30" t="s">
        <v>24</v>
      </c>
      <c r="C47" s="29">
        <v>1</v>
      </c>
      <c r="D47" s="22">
        <f>F25</f>
        <v>2912.6019564196836</v>
      </c>
      <c r="E47" s="21">
        <f t="shared" si="2"/>
        <v>2912.6019564196836</v>
      </c>
      <c r="F47" s="14"/>
      <c r="G47" s="14"/>
      <c r="H47" s="14"/>
    </row>
    <row r="48" spans="1:8" x14ac:dyDescent="0.25">
      <c r="A48" s="29">
        <v>6</v>
      </c>
      <c r="B48" s="30" t="s">
        <v>25</v>
      </c>
      <c r="C48" s="29">
        <v>1</v>
      </c>
      <c r="D48" s="22">
        <f>F26</f>
        <v>466.64199998945037</v>
      </c>
      <c r="E48" s="21">
        <f t="shared" si="2"/>
        <v>466.64199998945037</v>
      </c>
      <c r="F48" s="14"/>
      <c r="G48" s="14"/>
      <c r="H48" s="14"/>
    </row>
    <row r="49" spans="1:8" x14ac:dyDescent="0.25">
      <c r="A49" s="29">
        <v>7</v>
      </c>
      <c r="B49" s="23" t="s">
        <v>38</v>
      </c>
      <c r="C49" s="29">
        <v>1</v>
      </c>
      <c r="D49" s="22">
        <f>F31</f>
        <v>499.67164167295249</v>
      </c>
      <c r="E49" s="21">
        <f t="shared" si="2"/>
        <v>499.67164167295249</v>
      </c>
      <c r="F49" s="14"/>
      <c r="G49" s="14"/>
      <c r="H49" s="14"/>
    </row>
    <row r="50" spans="1:8" x14ac:dyDescent="0.25">
      <c r="A50" s="336" t="s">
        <v>31</v>
      </c>
      <c r="B50" s="337"/>
      <c r="C50" s="29">
        <f>SUM(C43:C49)</f>
        <v>10</v>
      </c>
      <c r="D50" s="22">
        <f>SUM(D43:D49)</f>
        <v>10824</v>
      </c>
      <c r="E50" s="21" t="s">
        <v>30</v>
      </c>
      <c r="F50" s="14"/>
      <c r="G50" s="14"/>
      <c r="H50" s="14"/>
    </row>
    <row r="51" spans="1:8" x14ac:dyDescent="0.25">
      <c r="A51" s="316" t="s">
        <v>39</v>
      </c>
      <c r="B51" s="316"/>
      <c r="C51" s="316"/>
      <c r="D51" s="316"/>
      <c r="E51" s="316"/>
      <c r="F51" s="316"/>
      <c r="G51" s="316"/>
      <c r="H51" s="3"/>
    </row>
    <row r="52" spans="1:8" x14ac:dyDescent="0.25">
      <c r="A52" s="316" t="s">
        <v>40</v>
      </c>
      <c r="B52" s="316"/>
      <c r="C52" s="316"/>
      <c r="D52" s="316"/>
      <c r="E52" s="316"/>
      <c r="F52" s="5"/>
      <c r="G52" s="3"/>
      <c r="H52" s="2"/>
    </row>
    <row r="53" spans="1:8" ht="15.75" x14ac:dyDescent="0.25">
      <c r="A53" s="31"/>
      <c r="B53" s="31"/>
      <c r="C53" s="31"/>
      <c r="D53" s="31"/>
      <c r="E53" s="31"/>
      <c r="F53" s="11" t="s">
        <v>41</v>
      </c>
      <c r="G53" s="31"/>
      <c r="H53" s="31"/>
    </row>
    <row r="54" spans="1:8" ht="29.25" customHeight="1" x14ac:dyDescent="0.25">
      <c r="A54" s="321" t="s">
        <v>446</v>
      </c>
      <c r="B54" s="321"/>
      <c r="C54" s="321"/>
      <c r="D54" s="321"/>
      <c r="E54" s="321"/>
      <c r="F54" s="321"/>
      <c r="G54" s="31"/>
      <c r="H54" s="31"/>
    </row>
    <row r="55" spans="1:8" x14ac:dyDescent="0.25">
      <c r="A55" s="322" t="s">
        <v>14</v>
      </c>
      <c r="B55" s="322" t="s">
        <v>15</v>
      </c>
      <c r="C55" s="324" t="s">
        <v>16</v>
      </c>
      <c r="D55" s="324"/>
      <c r="E55" s="324"/>
      <c r="F55" s="325" t="s">
        <v>17</v>
      </c>
      <c r="G55" s="2"/>
      <c r="H55" s="2"/>
    </row>
    <row r="56" spans="1:8" ht="63" x14ac:dyDescent="0.25">
      <c r="A56" s="323"/>
      <c r="B56" s="323"/>
      <c r="C56" s="15" t="s">
        <v>42</v>
      </c>
      <c r="D56" s="16" t="s">
        <v>43</v>
      </c>
      <c r="E56" s="16" t="s">
        <v>44</v>
      </c>
      <c r="F56" s="326"/>
      <c r="G56" s="2"/>
      <c r="H56" s="2"/>
    </row>
    <row r="57" spans="1:8" x14ac:dyDescent="0.25">
      <c r="A57" s="32">
        <v>1</v>
      </c>
      <c r="B57" s="18" t="s">
        <v>45</v>
      </c>
      <c r="C57" s="22">
        <f t="shared" ref="C57:C62" si="3">G57/$G$63*100</f>
        <v>49.597855227882036</v>
      </c>
      <c r="D57" s="33">
        <f>3790/40</f>
        <v>94.75</v>
      </c>
      <c r="E57" s="33">
        <f>($F$8-$D$57)/100*C57</f>
        <v>2637.2419571045575</v>
      </c>
      <c r="F57" s="33">
        <f t="shared" ref="F57:F62" si="4">D57+E57</f>
        <v>2731.9919571045575</v>
      </c>
      <c r="G57" s="2">
        <v>740</v>
      </c>
      <c r="H57" s="2"/>
    </row>
    <row r="58" spans="1:8" x14ac:dyDescent="0.25">
      <c r="A58" s="32">
        <v>2</v>
      </c>
      <c r="B58" s="18" t="s">
        <v>46</v>
      </c>
      <c r="C58" s="22">
        <f t="shared" si="3"/>
        <v>0</v>
      </c>
      <c r="D58" s="33"/>
      <c r="E58" s="33">
        <v>0</v>
      </c>
      <c r="F58" s="33">
        <f t="shared" si="4"/>
        <v>0</v>
      </c>
      <c r="G58" s="2">
        <v>0</v>
      </c>
      <c r="H58" s="2"/>
    </row>
    <row r="59" spans="1:8" ht="24" x14ac:dyDescent="0.25">
      <c r="A59" s="32">
        <v>3</v>
      </c>
      <c r="B59" s="18" t="s">
        <v>47</v>
      </c>
      <c r="C59" s="22">
        <f t="shared" si="3"/>
        <v>31.032171581769436</v>
      </c>
      <c r="D59" s="33"/>
      <c r="E59" s="33">
        <f>($F$8-$D$57)/100*C59</f>
        <v>1650.0581434316352</v>
      </c>
      <c r="F59" s="33">
        <f t="shared" si="4"/>
        <v>1650.0581434316352</v>
      </c>
      <c r="G59" s="2">
        <v>463</v>
      </c>
      <c r="H59" s="2"/>
    </row>
    <row r="60" spans="1:8" ht="24" x14ac:dyDescent="0.25">
      <c r="A60" s="32">
        <v>4</v>
      </c>
      <c r="B60" s="18" t="s">
        <v>48</v>
      </c>
      <c r="C60" s="22">
        <f t="shared" si="3"/>
        <v>15.750670241286862</v>
      </c>
      <c r="D60" s="33"/>
      <c r="E60" s="33">
        <f>($F$8-$D$57)/100*C60</f>
        <v>837.50251340482566</v>
      </c>
      <c r="F60" s="33">
        <f t="shared" si="4"/>
        <v>837.50251340482566</v>
      </c>
      <c r="G60" s="2">
        <v>235</v>
      </c>
      <c r="H60" s="2"/>
    </row>
    <row r="61" spans="1:8" x14ac:dyDescent="0.25">
      <c r="A61" s="32">
        <v>5</v>
      </c>
      <c r="B61" s="18" t="s">
        <v>49</v>
      </c>
      <c r="C61" s="22">
        <f t="shared" si="3"/>
        <v>3.6193029490616624</v>
      </c>
      <c r="D61" s="33"/>
      <c r="E61" s="33">
        <f>($F$8-$D$57)/100*C61</f>
        <v>192.44738605898124</v>
      </c>
      <c r="F61" s="33">
        <f t="shared" si="4"/>
        <v>192.44738605898124</v>
      </c>
      <c r="G61" s="2">
        <v>54</v>
      </c>
      <c r="H61" s="2"/>
    </row>
    <row r="62" spans="1:8" x14ac:dyDescent="0.25">
      <c r="A62" s="32">
        <v>6</v>
      </c>
      <c r="B62" s="18" t="s">
        <v>50</v>
      </c>
      <c r="C62" s="22">
        <f t="shared" si="3"/>
        <v>0</v>
      </c>
      <c r="D62" s="33"/>
      <c r="E62" s="33">
        <v>0</v>
      </c>
      <c r="F62" s="33">
        <f t="shared" si="4"/>
        <v>0</v>
      </c>
      <c r="G62" s="2">
        <v>0</v>
      </c>
      <c r="H62" s="2"/>
    </row>
    <row r="63" spans="1:8" x14ac:dyDescent="0.25">
      <c r="A63" s="336" t="s">
        <v>31</v>
      </c>
      <c r="B63" s="337"/>
      <c r="C63" s="22">
        <f>SUM(C57:C62)</f>
        <v>99.999999999999986</v>
      </c>
      <c r="D63" s="33"/>
      <c r="E63" s="33">
        <f>SUM(E57:E62)</f>
        <v>5317.25</v>
      </c>
      <c r="F63" s="33">
        <f>SUM(F57:F62)</f>
        <v>5412</v>
      </c>
      <c r="G63" s="2">
        <f>SUM(G57:G62)</f>
        <v>1492</v>
      </c>
      <c r="H63" s="2"/>
    </row>
    <row r="64" spans="1:8" ht="18" customHeight="1" x14ac:dyDescent="0.25">
      <c r="A64" s="338" t="s">
        <v>392</v>
      </c>
      <c r="B64" s="338"/>
      <c r="C64" s="338"/>
      <c r="D64" s="338"/>
      <c r="E64" s="338"/>
      <c r="F64" s="338"/>
      <c r="G64" s="338"/>
      <c r="H64" s="34"/>
    </row>
    <row r="65" spans="1:8" x14ac:dyDescent="0.25">
      <c r="A65" s="34"/>
      <c r="B65" s="34"/>
      <c r="C65" s="35"/>
      <c r="D65" s="34"/>
      <c r="E65" s="11" t="s">
        <v>51</v>
      </c>
      <c r="F65" s="36"/>
      <c r="G65" s="34"/>
      <c r="H65" s="34"/>
    </row>
    <row r="66" spans="1:8" x14ac:dyDescent="0.25">
      <c r="A66" s="321" t="s">
        <v>442</v>
      </c>
      <c r="B66" s="321"/>
      <c r="C66" s="321"/>
      <c r="D66" s="321"/>
      <c r="E66" s="321"/>
      <c r="F66" s="36"/>
      <c r="G66" s="34"/>
      <c r="H66" s="34"/>
    </row>
    <row r="67" spans="1:8" x14ac:dyDescent="0.25">
      <c r="A67" s="331" t="s">
        <v>14</v>
      </c>
      <c r="B67" s="333" t="s">
        <v>33</v>
      </c>
      <c r="C67" s="335" t="s">
        <v>34</v>
      </c>
      <c r="D67" s="324" t="s">
        <v>16</v>
      </c>
      <c r="E67" s="324"/>
      <c r="F67" s="36"/>
      <c r="G67" s="34"/>
      <c r="H67" s="34"/>
    </row>
    <row r="68" spans="1:8" ht="42" x14ac:dyDescent="0.25">
      <c r="A68" s="332"/>
      <c r="B68" s="334"/>
      <c r="C68" s="323"/>
      <c r="D68" s="27" t="s">
        <v>35</v>
      </c>
      <c r="E68" s="28" t="s">
        <v>17</v>
      </c>
      <c r="F68" s="36"/>
      <c r="G68" s="34"/>
      <c r="H68" s="34"/>
    </row>
    <row r="69" spans="1:8" x14ac:dyDescent="0.25">
      <c r="A69" s="29">
        <v>1</v>
      </c>
      <c r="B69" s="30" t="s">
        <v>52</v>
      </c>
      <c r="C69" s="29">
        <v>2</v>
      </c>
      <c r="D69" s="37">
        <f>F58+F59</f>
        <v>1650.0581434316352</v>
      </c>
      <c r="E69" s="21">
        <f>D69/C69</f>
        <v>825.02907171581762</v>
      </c>
      <c r="F69" s="36"/>
      <c r="G69" s="34"/>
      <c r="H69" s="34"/>
    </row>
    <row r="70" spans="1:8" x14ac:dyDescent="0.25">
      <c r="A70" s="29">
        <v>2</v>
      </c>
      <c r="B70" s="30" t="s">
        <v>53</v>
      </c>
      <c r="C70" s="29">
        <v>1</v>
      </c>
      <c r="D70" s="21">
        <f>F60+F62</f>
        <v>837.50251340482566</v>
      </c>
      <c r="E70" s="21">
        <f>D70/C70</f>
        <v>837.50251340482566</v>
      </c>
      <c r="F70" s="36"/>
      <c r="G70" s="34"/>
      <c r="H70" s="34"/>
    </row>
    <row r="71" spans="1:8" x14ac:dyDescent="0.25">
      <c r="A71" s="29">
        <v>3</v>
      </c>
      <c r="B71" s="30" t="s">
        <v>54</v>
      </c>
      <c r="C71" s="29">
        <v>1</v>
      </c>
      <c r="D71" s="21">
        <f>F61</f>
        <v>192.44738605898124</v>
      </c>
      <c r="E71" s="21">
        <f>D71/C71</f>
        <v>192.44738605898124</v>
      </c>
      <c r="F71" s="36"/>
      <c r="G71" s="34"/>
      <c r="H71" s="34"/>
    </row>
    <row r="72" spans="1:8" x14ac:dyDescent="0.25">
      <c r="A72" s="29">
        <v>4</v>
      </c>
      <c r="B72" s="30" t="s">
        <v>55</v>
      </c>
      <c r="C72" s="29">
        <v>1</v>
      </c>
      <c r="D72" s="21">
        <f>F57</f>
        <v>2731.9919571045575</v>
      </c>
      <c r="E72" s="21">
        <f>D72/C72</f>
        <v>2731.9919571045575</v>
      </c>
      <c r="F72" s="36"/>
      <c r="G72" s="34"/>
      <c r="H72" s="34"/>
    </row>
    <row r="73" spans="1:8" x14ac:dyDescent="0.25">
      <c r="A73" s="336" t="s">
        <v>31</v>
      </c>
      <c r="B73" s="337"/>
      <c r="C73" s="29">
        <f>SUM(C69:C72)</f>
        <v>5</v>
      </c>
      <c r="D73" s="21">
        <f>SUM(D69:D72)</f>
        <v>5412</v>
      </c>
      <c r="E73" s="21" t="s">
        <v>30</v>
      </c>
      <c r="F73" s="36"/>
      <c r="G73" s="34"/>
      <c r="H73" s="34"/>
    </row>
    <row r="74" spans="1:8" x14ac:dyDescent="0.25">
      <c r="A74" s="38"/>
      <c r="B74" s="38"/>
      <c r="C74" s="34"/>
      <c r="D74" s="39"/>
      <c r="E74" s="39"/>
      <c r="F74" s="36"/>
      <c r="G74" s="34"/>
      <c r="H74" s="34"/>
    </row>
    <row r="75" spans="1:8" ht="42" customHeight="1" x14ac:dyDescent="0.25">
      <c r="A75" s="330" t="s">
        <v>407</v>
      </c>
      <c r="B75" s="330"/>
      <c r="C75" s="330"/>
      <c r="D75" s="330"/>
      <c r="E75" s="330"/>
      <c r="F75" s="330"/>
      <c r="G75" s="330"/>
      <c r="H75" s="34"/>
    </row>
    <row r="76" spans="1:8" ht="21" customHeight="1" x14ac:dyDescent="0.25">
      <c r="A76" s="40"/>
      <c r="B76" s="40"/>
      <c r="C76" s="40"/>
      <c r="D76" s="40"/>
      <c r="E76" s="40"/>
      <c r="F76" s="40"/>
      <c r="G76" s="40"/>
      <c r="H76" s="34"/>
    </row>
    <row r="77" spans="1:8" ht="14.25" customHeight="1" x14ac:dyDescent="0.25">
      <c r="A77" s="2"/>
      <c r="B77" s="339" t="s">
        <v>56</v>
      </c>
      <c r="C77" s="339"/>
      <c r="D77" s="339"/>
      <c r="E77" s="41"/>
      <c r="F77" s="340" t="s">
        <v>58</v>
      </c>
      <c r="G77" s="340"/>
      <c r="H77" s="340"/>
    </row>
    <row r="78" spans="1:8" ht="15.75" x14ac:dyDescent="0.25">
      <c r="A78" s="2"/>
      <c r="B78" s="341" t="s">
        <v>57</v>
      </c>
      <c r="C78" s="341"/>
      <c r="D78" s="341"/>
      <c r="E78" s="41"/>
      <c r="F78" s="42"/>
      <c r="G78" s="43"/>
      <c r="H78" s="31"/>
    </row>
  </sheetData>
  <mergeCells count="50">
    <mergeCell ref="A73:B73"/>
    <mergeCell ref="A75:G75"/>
    <mergeCell ref="B77:D77"/>
    <mergeCell ref="F77:H77"/>
    <mergeCell ref="B78:D78"/>
    <mergeCell ref="A63:B63"/>
    <mergeCell ref="A64:G64"/>
    <mergeCell ref="A66:E66"/>
    <mergeCell ref="A67:A68"/>
    <mergeCell ref="B67:B68"/>
    <mergeCell ref="C67:C68"/>
    <mergeCell ref="D67:E67"/>
    <mergeCell ref="A50:B50"/>
    <mergeCell ref="A51:G51"/>
    <mergeCell ref="A52:E52"/>
    <mergeCell ref="A54:F54"/>
    <mergeCell ref="A55:A56"/>
    <mergeCell ref="B55:B56"/>
    <mergeCell ref="C55:E55"/>
    <mergeCell ref="F55:F56"/>
    <mergeCell ref="A38:G38"/>
    <mergeCell ref="A40:E40"/>
    <mergeCell ref="A41:A42"/>
    <mergeCell ref="B41:B42"/>
    <mergeCell ref="C41:C42"/>
    <mergeCell ref="D41:E41"/>
    <mergeCell ref="A36:F36"/>
    <mergeCell ref="A17:E17"/>
    <mergeCell ref="D18:E18"/>
    <mergeCell ref="B19:F19"/>
    <mergeCell ref="A20:A21"/>
    <mergeCell ref="B20:B21"/>
    <mergeCell ref="C20:E20"/>
    <mergeCell ref="F20:F21"/>
    <mergeCell ref="A32:B32"/>
    <mergeCell ref="A33:F33"/>
    <mergeCell ref="A34:F34"/>
    <mergeCell ref="A35:G35"/>
    <mergeCell ref="H22:T22"/>
    <mergeCell ref="A16:G16"/>
    <mergeCell ref="A1:G1"/>
    <mergeCell ref="A2:G3"/>
    <mergeCell ref="A4:G4"/>
    <mergeCell ref="A5:G5"/>
    <mergeCell ref="C6:E6"/>
    <mergeCell ref="A7:G7"/>
    <mergeCell ref="C8:E8"/>
    <mergeCell ref="B10:H10"/>
    <mergeCell ref="B12:H12"/>
    <mergeCell ref="A15:G15"/>
  </mergeCell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1"/>
  <sheetViews>
    <sheetView topLeftCell="A10" workbookViewId="0">
      <selection activeCell="E25" sqref="E25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17" t="s">
        <v>180</v>
      </c>
      <c r="B1" s="317"/>
      <c r="C1" s="317"/>
      <c r="D1" s="317"/>
      <c r="E1" s="317"/>
      <c r="F1" s="317"/>
      <c r="G1" s="317"/>
    </row>
    <row r="2" spans="1:7" x14ac:dyDescent="0.25">
      <c r="A2" s="316" t="s">
        <v>135</v>
      </c>
      <c r="B2" s="316"/>
      <c r="C2" s="316"/>
      <c r="D2" s="316"/>
      <c r="E2" s="316"/>
      <c r="F2" s="316"/>
      <c r="G2" s="3"/>
    </row>
    <row r="3" spans="1:7" x14ac:dyDescent="0.25">
      <c r="A3" s="94"/>
      <c r="B3" s="5">
        <f>'План. расчет времени'!F25</f>
        <v>2912.6019564196836</v>
      </c>
      <c r="C3" s="3" t="s">
        <v>136</v>
      </c>
      <c r="D3" s="3"/>
      <c r="E3" s="3"/>
      <c r="F3" s="3"/>
      <c r="G3" s="3"/>
    </row>
    <row r="4" spans="1:7" x14ac:dyDescent="0.25">
      <c r="A4" s="316" t="s">
        <v>137</v>
      </c>
      <c r="B4" s="316"/>
      <c r="C4" s="316"/>
      <c r="D4" s="316"/>
      <c r="E4" s="316"/>
      <c r="F4" s="316"/>
      <c r="G4" s="93"/>
    </row>
    <row r="5" spans="1:7" x14ac:dyDescent="0.25">
      <c r="A5" s="3"/>
      <c r="B5" s="3">
        <v>40</v>
      </c>
      <c r="C5" s="3" t="s">
        <v>136</v>
      </c>
      <c r="D5" s="3"/>
      <c r="E5" s="3"/>
      <c r="F5" s="3"/>
      <c r="G5" s="93"/>
    </row>
    <row r="6" spans="1:7" x14ac:dyDescent="0.25">
      <c r="A6" s="316" t="s">
        <v>173</v>
      </c>
      <c r="B6" s="316"/>
      <c r="C6" s="316"/>
      <c r="D6" s="316"/>
      <c r="E6" s="316"/>
      <c r="F6" s="316"/>
      <c r="G6" s="316"/>
    </row>
    <row r="7" spans="1:7" x14ac:dyDescent="0.25">
      <c r="A7" s="3"/>
      <c r="B7" s="3">
        <v>40</v>
      </c>
      <c r="C7" s="3" t="s">
        <v>136</v>
      </c>
      <c r="D7" s="94"/>
      <c r="E7" s="94"/>
      <c r="F7" s="3"/>
      <c r="G7" s="3"/>
    </row>
    <row r="8" spans="1:7" x14ac:dyDescent="0.25">
      <c r="A8" s="93"/>
      <c r="B8" s="93"/>
      <c r="C8" s="93"/>
      <c r="D8" s="3"/>
      <c r="E8" s="3"/>
      <c r="F8" s="3"/>
      <c r="G8" s="3"/>
    </row>
    <row r="9" spans="1:7" x14ac:dyDescent="0.25">
      <c r="A9" s="404" t="s">
        <v>141</v>
      </c>
      <c r="B9" s="404"/>
      <c r="C9" s="404"/>
      <c r="D9" s="158">
        <f>B3-B5-B7</f>
        <v>2832.6019564196836</v>
      </c>
      <c r="E9" s="159" t="s">
        <v>136</v>
      </c>
      <c r="F9" s="159"/>
      <c r="G9" s="9"/>
    </row>
    <row r="10" spans="1:7" x14ac:dyDescent="0.25">
      <c r="A10" s="93"/>
      <c r="B10" s="93"/>
      <c r="C10" s="93"/>
      <c r="D10" s="93"/>
      <c r="E10" s="93"/>
      <c r="F10" s="93"/>
      <c r="G10" s="93"/>
    </row>
    <row r="11" spans="1:7" x14ac:dyDescent="0.25">
      <c r="A11" s="316" t="s">
        <v>174</v>
      </c>
      <c r="B11" s="316"/>
      <c r="C11" s="3">
        <v>74217.600000000006</v>
      </c>
      <c r="D11" s="3" t="s">
        <v>103</v>
      </c>
      <c r="E11" s="3"/>
      <c r="F11" s="93"/>
      <c r="G11" s="93"/>
    </row>
    <row r="12" spans="1:7" x14ac:dyDescent="0.25">
      <c r="A12" s="93"/>
      <c r="B12" s="93"/>
      <c r="C12" s="93"/>
      <c r="D12" s="93"/>
      <c r="E12" s="93"/>
      <c r="F12" s="93"/>
      <c r="G12" s="93"/>
    </row>
    <row r="13" spans="1:7" x14ac:dyDescent="0.25">
      <c r="A13" s="316" t="s">
        <v>175</v>
      </c>
      <c r="B13" s="316"/>
      <c r="C13" s="316"/>
      <c r="D13" s="316"/>
      <c r="E13" s="316"/>
      <c r="F13" s="3">
        <v>78355</v>
      </c>
      <c r="G13" s="3" t="s">
        <v>103</v>
      </c>
    </row>
    <row r="14" spans="1:7" x14ac:dyDescent="0.25">
      <c r="A14" s="93"/>
      <c r="B14" s="93"/>
      <c r="C14" s="3"/>
      <c r="D14" s="3"/>
      <c r="E14" s="3"/>
      <c r="F14" s="94"/>
      <c r="G14" s="94"/>
    </row>
    <row r="15" spans="1:7" ht="15.75" thickBot="1" x14ac:dyDescent="0.3">
      <c r="A15" s="375" t="s">
        <v>143</v>
      </c>
      <c r="B15" s="373" t="s">
        <v>144</v>
      </c>
      <c r="C15" s="373"/>
      <c r="D15" s="373"/>
      <c r="E15" s="3"/>
      <c r="F15" s="94"/>
      <c r="G15" s="94"/>
    </row>
    <row r="16" spans="1:7" x14ac:dyDescent="0.25">
      <c r="A16" s="375"/>
      <c r="B16" s="374" t="s">
        <v>145</v>
      </c>
      <c r="C16" s="374"/>
      <c r="D16" s="374"/>
      <c r="E16" s="3"/>
      <c r="F16" s="94"/>
      <c r="G16" s="94"/>
    </row>
    <row r="17" spans="1:7" x14ac:dyDescent="0.25">
      <c r="A17" s="99"/>
      <c r="B17" s="100"/>
      <c r="C17" s="100"/>
      <c r="D17" s="100"/>
      <c r="E17" s="3"/>
      <c r="F17" s="94"/>
      <c r="G17" s="94"/>
    </row>
    <row r="18" spans="1:7" ht="15.75" thickBot="1" x14ac:dyDescent="0.3">
      <c r="A18" s="372" t="s">
        <v>146</v>
      </c>
      <c r="B18" s="372"/>
      <c r="C18" s="373" t="s">
        <v>147</v>
      </c>
      <c r="D18" s="373"/>
      <c r="E18" s="373"/>
      <c r="F18" s="94"/>
      <c r="G18" s="94"/>
    </row>
    <row r="19" spans="1:7" x14ac:dyDescent="0.25">
      <c r="A19" s="372"/>
      <c r="B19" s="372"/>
      <c r="C19" s="374" t="s">
        <v>145</v>
      </c>
      <c r="D19" s="374"/>
      <c r="E19" s="374"/>
      <c r="F19" s="94"/>
      <c r="G19" s="94"/>
    </row>
    <row r="20" spans="1:7" x14ac:dyDescent="0.25">
      <c r="A20" s="9"/>
      <c r="B20" s="9"/>
      <c r="C20" s="101"/>
      <c r="D20" s="101"/>
      <c r="E20" s="101"/>
      <c r="F20" s="94"/>
      <c r="G20" s="94"/>
    </row>
    <row r="21" spans="1:7" x14ac:dyDescent="0.25">
      <c r="A21" s="9"/>
      <c r="B21" s="9"/>
      <c r="C21" s="101"/>
      <c r="D21" s="101"/>
      <c r="E21" s="320" t="s">
        <v>13</v>
      </c>
      <c r="F21" s="320"/>
      <c r="G21" s="94"/>
    </row>
    <row r="22" spans="1:7" x14ac:dyDescent="0.25">
      <c r="A22" s="321" t="s">
        <v>148</v>
      </c>
      <c r="B22" s="321"/>
      <c r="C22" s="321"/>
      <c r="D22" s="321"/>
      <c r="E22" s="321"/>
      <c r="F22" s="321"/>
      <c r="G22" s="94"/>
    </row>
    <row r="23" spans="1:7" x14ac:dyDescent="0.25">
      <c r="A23" s="377" t="s">
        <v>149</v>
      </c>
      <c r="B23" s="379" t="s">
        <v>16</v>
      </c>
      <c r="C23" s="380"/>
      <c r="D23" s="380"/>
      <c r="E23" s="381" t="s">
        <v>150</v>
      </c>
      <c r="F23" s="381"/>
      <c r="G23" s="102"/>
    </row>
    <row r="24" spans="1:7" ht="45" x14ac:dyDescent="0.25">
      <c r="A24" s="378"/>
      <c r="B24" s="103" t="s">
        <v>151</v>
      </c>
      <c r="C24" s="103" t="s">
        <v>152</v>
      </c>
      <c r="D24" s="104" t="s">
        <v>153</v>
      </c>
      <c r="E24" s="103" t="s">
        <v>154</v>
      </c>
      <c r="F24" s="103" t="s">
        <v>155</v>
      </c>
      <c r="G24" s="105"/>
    </row>
    <row r="25" spans="1:7" x14ac:dyDescent="0.25">
      <c r="A25" s="106" t="s">
        <v>181</v>
      </c>
      <c r="B25" s="107">
        <f>C11</f>
        <v>74217.600000000006</v>
      </c>
      <c r="C25" s="108">
        <f>F13</f>
        <v>78355</v>
      </c>
      <c r="D25" s="109">
        <f>D9</f>
        <v>2832.6019564196836</v>
      </c>
      <c r="E25" s="108">
        <f>B25/D25</f>
        <v>26.201210456625056</v>
      </c>
      <c r="F25" s="107">
        <f>C25/D25</f>
        <v>27.661846318512808</v>
      </c>
      <c r="G25" s="12"/>
    </row>
    <row r="26" spans="1:7" x14ac:dyDescent="0.25">
      <c r="A26" s="94"/>
      <c r="B26" s="94"/>
      <c r="C26" s="94"/>
      <c r="D26" s="94"/>
      <c r="E26" s="94"/>
      <c r="F26" s="94"/>
      <c r="G26" s="94"/>
    </row>
    <row r="27" spans="1:7" x14ac:dyDescent="0.25">
      <c r="A27" s="94"/>
      <c r="B27" s="94"/>
      <c r="C27" s="94"/>
      <c r="D27" s="94"/>
      <c r="E27" s="94"/>
      <c r="F27" s="94"/>
      <c r="G27" s="94"/>
    </row>
    <row r="28" spans="1:7" x14ac:dyDescent="0.25">
      <c r="A28" s="94"/>
      <c r="B28" s="94"/>
      <c r="C28" s="94"/>
      <c r="D28" s="94"/>
      <c r="E28" s="94"/>
      <c r="F28" s="94"/>
      <c r="G28" s="94"/>
    </row>
    <row r="29" spans="1:7" x14ac:dyDescent="0.25">
      <c r="A29" s="94"/>
      <c r="B29" s="94"/>
      <c r="C29" s="94"/>
      <c r="D29" s="94"/>
      <c r="E29" s="94"/>
      <c r="F29" s="94"/>
      <c r="G29" s="94"/>
    </row>
    <row r="30" spans="1:7" ht="15.75" x14ac:dyDescent="0.25">
      <c r="A30" s="382" t="s">
        <v>56</v>
      </c>
      <c r="B30" s="382"/>
      <c r="C30" s="382"/>
      <c r="D30" s="31"/>
      <c r="E30" s="340" t="s">
        <v>58</v>
      </c>
      <c r="F30" s="340"/>
      <c r="G30" s="340"/>
    </row>
    <row r="31" spans="1:7" ht="15.75" x14ac:dyDescent="0.25">
      <c r="A31" s="376" t="s">
        <v>57</v>
      </c>
      <c r="B31" s="376"/>
      <c r="C31" s="376"/>
      <c r="D31" s="31"/>
      <c r="E31" s="31"/>
      <c r="F31" s="91"/>
      <c r="G31" s="31"/>
    </row>
  </sheetData>
  <mergeCells count="21">
    <mergeCell ref="A31:C31"/>
    <mergeCell ref="E21:F21"/>
    <mergeCell ref="A22:F22"/>
    <mergeCell ref="A23:A24"/>
    <mergeCell ref="B23:D23"/>
    <mergeCell ref="E23:F23"/>
    <mergeCell ref="A30:C30"/>
    <mergeCell ref="E30:G30"/>
    <mergeCell ref="A13:E13"/>
    <mergeCell ref="A15:A16"/>
    <mergeCell ref="B15:D15"/>
    <mergeCell ref="B16:D16"/>
    <mergeCell ref="A18:B19"/>
    <mergeCell ref="C18:E18"/>
    <mergeCell ref="C19:E19"/>
    <mergeCell ref="A11:B11"/>
    <mergeCell ref="A1:G1"/>
    <mergeCell ref="A2:F2"/>
    <mergeCell ref="A4:F4"/>
    <mergeCell ref="A6:G6"/>
    <mergeCell ref="A9:C9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4"/>
  <sheetViews>
    <sheetView topLeftCell="A31" workbookViewId="0">
      <selection activeCell="I31" sqref="I31"/>
    </sheetView>
  </sheetViews>
  <sheetFormatPr defaultRowHeight="15" x14ac:dyDescent="0.25"/>
  <cols>
    <col min="1" max="1" width="4.140625" customWidth="1"/>
    <col min="2" max="2" width="31.5703125" customWidth="1"/>
    <col min="3" max="3" width="9.85546875" customWidth="1"/>
    <col min="4" max="4" width="13.7109375" customWidth="1"/>
    <col min="5" max="5" width="10.28515625" customWidth="1"/>
    <col min="6" max="6" width="17.28515625" customWidth="1"/>
    <col min="7" max="7" width="11.140625" customWidth="1"/>
  </cols>
  <sheetData>
    <row r="1" spans="1:7" ht="13.5" customHeight="1" x14ac:dyDescent="0.25">
      <c r="A1" s="113"/>
      <c r="B1" s="113"/>
      <c r="C1" s="173"/>
      <c r="D1" s="113"/>
      <c r="E1" s="113"/>
      <c r="F1" s="117"/>
      <c r="G1" s="115" t="s">
        <v>167</v>
      </c>
    </row>
    <row r="2" spans="1:7" ht="13.5" customHeight="1" x14ac:dyDescent="0.25">
      <c r="A2" s="113"/>
      <c r="B2" s="113"/>
      <c r="C2" s="173"/>
      <c r="D2" s="113"/>
      <c r="E2" s="113"/>
      <c r="F2" s="117"/>
      <c r="G2" s="115" t="s">
        <v>61</v>
      </c>
    </row>
    <row r="3" spans="1:7" ht="13.5" customHeight="1" x14ac:dyDescent="0.25">
      <c r="A3" s="113"/>
      <c r="B3" s="113"/>
      <c r="C3" s="173"/>
      <c r="D3" s="113"/>
      <c r="E3" s="113"/>
      <c r="F3" s="117"/>
      <c r="G3" s="115" t="s">
        <v>414</v>
      </c>
    </row>
    <row r="4" spans="1:7" ht="13.5" customHeight="1" x14ac:dyDescent="0.25">
      <c r="A4" s="113"/>
      <c r="B4" s="113"/>
      <c r="C4" s="173"/>
      <c r="D4" s="113"/>
      <c r="E4" s="113"/>
      <c r="F4" s="117"/>
      <c r="G4" s="115" t="s">
        <v>419</v>
      </c>
    </row>
    <row r="5" spans="1:7" ht="13.5" customHeight="1" x14ac:dyDescent="0.25">
      <c r="A5" s="113"/>
      <c r="B5" s="113"/>
      <c r="C5" s="173"/>
      <c r="D5" s="113"/>
      <c r="E5" s="144"/>
      <c r="F5" s="117"/>
      <c r="G5" s="113"/>
    </row>
    <row r="6" spans="1:7" ht="13.5" customHeight="1" x14ac:dyDescent="0.25">
      <c r="A6" s="407" t="s">
        <v>98</v>
      </c>
      <c r="B6" s="407"/>
      <c r="C6" s="407"/>
      <c r="D6" s="407"/>
      <c r="E6" s="407"/>
      <c r="F6" s="407"/>
      <c r="G6" s="407"/>
    </row>
    <row r="7" spans="1:7" ht="13.5" customHeight="1" x14ac:dyDescent="0.25">
      <c r="A7" s="408" t="s">
        <v>182</v>
      </c>
      <c r="B7" s="408"/>
      <c r="C7" s="408"/>
      <c r="D7" s="408"/>
      <c r="E7" s="408"/>
      <c r="F7" s="408"/>
      <c r="G7" s="408"/>
    </row>
    <row r="8" spans="1:7" ht="13.5" customHeight="1" x14ac:dyDescent="0.25">
      <c r="A8" s="409" t="s">
        <v>14</v>
      </c>
      <c r="B8" s="411" t="s">
        <v>100</v>
      </c>
      <c r="C8" s="412"/>
      <c r="D8" s="413"/>
      <c r="E8" s="417"/>
      <c r="F8" s="419" t="s">
        <v>101</v>
      </c>
      <c r="G8" s="419"/>
    </row>
    <row r="9" spans="1:7" ht="13.5" customHeight="1" x14ac:dyDescent="0.25">
      <c r="A9" s="410"/>
      <c r="B9" s="414"/>
      <c r="C9" s="415"/>
      <c r="D9" s="416"/>
      <c r="E9" s="418"/>
      <c r="F9" s="70" t="s">
        <v>102</v>
      </c>
      <c r="G9" s="70" t="s">
        <v>64</v>
      </c>
    </row>
    <row r="10" spans="1:7" ht="13.5" customHeight="1" x14ac:dyDescent="0.25">
      <c r="A10" s="118"/>
      <c r="B10" s="383" t="s">
        <v>131</v>
      </c>
      <c r="C10" s="384"/>
      <c r="D10" s="385"/>
      <c r="E10" s="122"/>
      <c r="F10" s="121">
        <v>62.85</v>
      </c>
      <c r="G10" s="122" t="s">
        <v>103</v>
      </c>
    </row>
    <row r="11" spans="1:7" ht="13.5" customHeight="1" x14ac:dyDescent="0.25">
      <c r="A11" s="118"/>
      <c r="B11" s="118"/>
      <c r="C11" s="174"/>
      <c r="D11" s="118"/>
      <c r="E11" s="122"/>
      <c r="F11" s="121"/>
      <c r="G11" s="122"/>
    </row>
    <row r="12" spans="1:7" ht="13.5" customHeight="1" x14ac:dyDescent="0.25">
      <c r="A12" s="118"/>
      <c r="B12" s="118" t="s">
        <v>104</v>
      </c>
      <c r="C12" s="174"/>
      <c r="D12" s="118"/>
      <c r="E12" s="175">
        <v>0.25</v>
      </c>
      <c r="F12" s="121">
        <f>F10*E12</f>
        <v>15.7125</v>
      </c>
      <c r="G12" s="122" t="s">
        <v>103</v>
      </c>
    </row>
    <row r="13" spans="1:7" ht="13.5" customHeight="1" x14ac:dyDescent="0.25">
      <c r="A13" s="118"/>
      <c r="B13" s="118"/>
      <c r="C13" s="174"/>
      <c r="D13" s="118"/>
      <c r="E13" s="122"/>
      <c r="F13" s="121"/>
      <c r="G13" s="122"/>
    </row>
    <row r="14" spans="1:7" ht="13.5" customHeight="1" x14ac:dyDescent="0.25">
      <c r="A14" s="118"/>
      <c r="B14" s="118" t="s">
        <v>105</v>
      </c>
      <c r="C14" s="174"/>
      <c r="D14" s="118"/>
      <c r="E14" s="175">
        <v>0.1</v>
      </c>
      <c r="F14" s="121">
        <f>F10*E14</f>
        <v>6.2850000000000001</v>
      </c>
      <c r="G14" s="122" t="str">
        <f>G12</f>
        <v>руб.</v>
      </c>
    </row>
    <row r="15" spans="1:7" ht="13.5" customHeight="1" x14ac:dyDescent="0.25">
      <c r="A15" s="118"/>
      <c r="B15" s="118"/>
      <c r="C15" s="174"/>
      <c r="D15" s="118"/>
      <c r="E15" s="122"/>
      <c r="F15" s="121"/>
      <c r="G15" s="122"/>
    </row>
    <row r="16" spans="1:7" ht="13.5" customHeight="1" x14ac:dyDescent="0.25">
      <c r="A16" s="118"/>
      <c r="B16" s="118" t="s">
        <v>106</v>
      </c>
      <c r="C16" s="174"/>
      <c r="D16" s="118"/>
      <c r="E16" s="175">
        <v>0.4</v>
      </c>
      <c r="F16" s="121">
        <f>(F10)*E16</f>
        <v>25.14</v>
      </c>
      <c r="G16" s="122" t="s">
        <v>103</v>
      </c>
    </row>
    <row r="17" spans="1:7" ht="13.5" customHeight="1" x14ac:dyDescent="0.25">
      <c r="A17" s="118"/>
      <c r="B17" s="118"/>
      <c r="C17" s="174"/>
      <c r="D17" s="118"/>
      <c r="E17" s="175"/>
      <c r="F17" s="121"/>
      <c r="G17" s="122"/>
    </row>
    <row r="18" spans="1:7" ht="13.5" customHeight="1" x14ac:dyDescent="0.25">
      <c r="A18" s="118"/>
      <c r="B18" s="118" t="s">
        <v>107</v>
      </c>
      <c r="C18" s="174"/>
      <c r="D18" s="118"/>
      <c r="E18" s="122"/>
      <c r="F18" s="121">
        <v>60</v>
      </c>
      <c r="G18" s="122" t="s">
        <v>108</v>
      </c>
    </row>
    <row r="19" spans="1:7" ht="13.5" customHeight="1" x14ac:dyDescent="0.25">
      <c r="A19" s="118"/>
      <c r="B19" s="118"/>
      <c r="C19" s="174"/>
      <c r="D19" s="118"/>
      <c r="E19" s="122"/>
      <c r="F19" s="121"/>
      <c r="G19" s="118"/>
    </row>
    <row r="20" spans="1:7" ht="13.5" customHeight="1" x14ac:dyDescent="0.25">
      <c r="A20" s="126">
        <v>1</v>
      </c>
      <c r="B20" s="127" t="s">
        <v>109</v>
      </c>
      <c r="C20" s="176"/>
      <c r="D20" s="127"/>
      <c r="E20" s="126"/>
      <c r="F20" s="130">
        <f>F10+F12+F14+F16</f>
        <v>109.9875</v>
      </c>
      <c r="G20" s="126" t="s">
        <v>103</v>
      </c>
    </row>
    <row r="21" spans="1:7" ht="13.5" customHeight="1" x14ac:dyDescent="0.25">
      <c r="A21" s="126"/>
      <c r="B21" s="127"/>
      <c r="C21" s="176"/>
      <c r="D21" s="118"/>
      <c r="E21" s="122"/>
      <c r="F21" s="121"/>
      <c r="G21" s="122"/>
    </row>
    <row r="22" spans="1:7" ht="13.5" customHeight="1" x14ac:dyDescent="0.25">
      <c r="A22" s="126">
        <v>2</v>
      </c>
      <c r="B22" s="127" t="s">
        <v>110</v>
      </c>
      <c r="C22" s="176"/>
      <c r="D22" s="127"/>
      <c r="E22" s="177">
        <v>0.30199999999999999</v>
      </c>
      <c r="F22" s="130">
        <f>E22*F20</f>
        <v>33.216225000000001</v>
      </c>
      <c r="G22" s="126" t="s">
        <v>103</v>
      </c>
    </row>
    <row r="23" spans="1:7" ht="13.5" customHeight="1" x14ac:dyDescent="0.25">
      <c r="A23" s="126"/>
      <c r="B23" s="127"/>
      <c r="C23" s="176"/>
      <c r="D23" s="118"/>
      <c r="E23" s="175"/>
      <c r="F23" s="121"/>
      <c r="G23" s="122"/>
    </row>
    <row r="24" spans="1:7" ht="13.5" customHeight="1" x14ac:dyDescent="0.25">
      <c r="A24" s="126">
        <v>3</v>
      </c>
      <c r="B24" s="127" t="s">
        <v>111</v>
      </c>
      <c r="C24" s="420"/>
      <c r="D24" s="421"/>
      <c r="E24" s="177"/>
      <c r="F24" s="130">
        <v>16.75</v>
      </c>
      <c r="G24" s="126" t="s">
        <v>103</v>
      </c>
    </row>
    <row r="25" spans="1:7" ht="13.5" customHeight="1" x14ac:dyDescent="0.25">
      <c r="A25" s="126"/>
      <c r="B25" s="127"/>
      <c r="C25" s="176"/>
      <c r="D25" s="118"/>
      <c r="E25" s="175"/>
      <c r="F25" s="121"/>
      <c r="G25" s="122"/>
    </row>
    <row r="26" spans="1:7" ht="13.5" customHeight="1" x14ac:dyDescent="0.25">
      <c r="A26" s="126">
        <v>4</v>
      </c>
      <c r="B26" s="127" t="s">
        <v>113</v>
      </c>
      <c r="C26" s="176"/>
      <c r="D26" s="127"/>
      <c r="E26" s="177"/>
      <c r="F26" s="130">
        <v>275.36</v>
      </c>
      <c r="G26" s="126" t="s">
        <v>103</v>
      </c>
    </row>
    <row r="27" spans="1:7" ht="13.5" customHeight="1" x14ac:dyDescent="0.25">
      <c r="A27" s="126"/>
      <c r="B27" s="127"/>
      <c r="C27" s="176"/>
      <c r="D27" s="118"/>
      <c r="E27" s="175"/>
      <c r="F27" s="121"/>
      <c r="G27" s="122"/>
    </row>
    <row r="28" spans="1:7" ht="13.5" customHeight="1" x14ac:dyDescent="0.25">
      <c r="A28" s="126">
        <v>5</v>
      </c>
      <c r="B28" s="127" t="s">
        <v>161</v>
      </c>
      <c r="C28" s="178"/>
      <c r="D28" s="113"/>
      <c r="E28" s="179"/>
      <c r="F28" s="117"/>
      <c r="G28" s="113"/>
    </row>
    <row r="29" spans="1:7" ht="13.5" customHeight="1" x14ac:dyDescent="0.25">
      <c r="A29" s="122"/>
      <c r="B29" s="118" t="s">
        <v>183</v>
      </c>
      <c r="C29" s="383" t="s">
        <v>184</v>
      </c>
      <c r="D29" s="385"/>
      <c r="E29" s="179"/>
      <c r="F29" s="133">
        <f>0.294*60</f>
        <v>17.64</v>
      </c>
      <c r="G29" s="122" t="s">
        <v>116</v>
      </c>
    </row>
    <row r="30" spans="1:7" ht="13.5" customHeight="1" x14ac:dyDescent="0.25">
      <c r="A30" s="122"/>
      <c r="B30" s="118" t="s">
        <v>72</v>
      </c>
      <c r="C30" s="383" t="s">
        <v>185</v>
      </c>
      <c r="D30" s="385"/>
      <c r="E30" s="179"/>
      <c r="F30" s="121">
        <f>0.0025*2</f>
        <v>5.0000000000000001E-3</v>
      </c>
      <c r="G30" s="122" t="s">
        <v>116</v>
      </c>
    </row>
    <row r="31" spans="1:7" ht="13.5" customHeight="1" x14ac:dyDescent="0.25">
      <c r="A31" s="122"/>
      <c r="B31" s="118" t="s">
        <v>186</v>
      </c>
      <c r="C31" s="387">
        <f>F29+F30</f>
        <v>17.645</v>
      </c>
      <c r="D31" s="422"/>
      <c r="E31" s="179">
        <v>35.1</v>
      </c>
      <c r="F31" s="130">
        <f>C31*E31</f>
        <v>619.33950000000004</v>
      </c>
      <c r="G31" s="126" t="s">
        <v>103</v>
      </c>
    </row>
    <row r="32" spans="1:7" ht="13.5" customHeight="1" x14ac:dyDescent="0.25">
      <c r="A32" s="122"/>
      <c r="B32" s="118"/>
      <c r="C32" s="174"/>
      <c r="D32" s="118"/>
      <c r="E32" s="179"/>
      <c r="F32" s="130"/>
      <c r="G32" s="126"/>
    </row>
    <row r="33" spans="1:7" ht="13.5" customHeight="1" x14ac:dyDescent="0.25">
      <c r="A33" s="126">
        <v>6</v>
      </c>
      <c r="B33" s="127" t="s">
        <v>117</v>
      </c>
      <c r="C33" s="176"/>
      <c r="D33" s="127"/>
      <c r="E33" s="180"/>
      <c r="F33" s="130"/>
      <c r="G33" s="126"/>
    </row>
    <row r="34" spans="1:7" ht="13.5" customHeight="1" x14ac:dyDescent="0.25">
      <c r="A34" s="126"/>
      <c r="B34" s="118" t="s">
        <v>118</v>
      </c>
      <c r="C34" s="181">
        <v>2.9000000000000001E-2</v>
      </c>
      <c r="D34" s="138" t="s">
        <v>121</v>
      </c>
      <c r="E34" s="182">
        <v>142.52000000000001</v>
      </c>
      <c r="F34" s="121">
        <f>C34*$C$31*E34</f>
        <v>72.928196600000007</v>
      </c>
      <c r="G34" s="122" t="s">
        <v>103</v>
      </c>
    </row>
    <row r="35" spans="1:7" ht="13.5" customHeight="1" x14ac:dyDescent="0.25">
      <c r="A35" s="126"/>
      <c r="B35" s="118" t="s">
        <v>120</v>
      </c>
      <c r="C35" s="181">
        <v>4.0000000000000001E-3</v>
      </c>
      <c r="D35" s="140" t="s">
        <v>121</v>
      </c>
      <c r="E35" s="182">
        <v>88.65</v>
      </c>
      <c r="F35" s="121">
        <f>C35*$C$31*E35</f>
        <v>6.2569170000000005</v>
      </c>
      <c r="G35" s="122" t="s">
        <v>103</v>
      </c>
    </row>
    <row r="36" spans="1:7" ht="13.5" customHeight="1" x14ac:dyDescent="0.25">
      <c r="A36" s="126"/>
      <c r="B36" s="118" t="s">
        <v>122</v>
      </c>
      <c r="C36" s="181">
        <v>1.5E-3</v>
      </c>
      <c r="D36" s="140" t="s">
        <v>121</v>
      </c>
      <c r="E36" s="182">
        <v>56.75</v>
      </c>
      <c r="F36" s="121">
        <f>C36*$C$31*E36</f>
        <v>1.5020306250000002</v>
      </c>
      <c r="G36" s="122" t="s">
        <v>103</v>
      </c>
    </row>
    <row r="37" spans="1:7" ht="13.5" customHeight="1" x14ac:dyDescent="0.25">
      <c r="A37" s="126"/>
      <c r="B37" s="118" t="s">
        <v>123</v>
      </c>
      <c r="C37" s="183">
        <v>3.5000000000000001E-3</v>
      </c>
      <c r="D37" s="142" t="s">
        <v>121</v>
      </c>
      <c r="E37" s="182">
        <v>100.17</v>
      </c>
      <c r="F37" s="121">
        <f>C37*$C$31*E37</f>
        <v>6.1862487750000001</v>
      </c>
      <c r="G37" s="122" t="s">
        <v>103</v>
      </c>
    </row>
    <row r="38" spans="1:7" ht="13.5" customHeight="1" x14ac:dyDescent="0.25">
      <c r="A38" s="126"/>
      <c r="B38" s="118" t="s">
        <v>124</v>
      </c>
      <c r="C38" s="184"/>
      <c r="D38" s="171"/>
      <c r="E38" s="180"/>
      <c r="F38" s="130">
        <f>SUM(F34:F37)</f>
        <v>86.873393000000007</v>
      </c>
      <c r="G38" s="122" t="s">
        <v>103</v>
      </c>
    </row>
    <row r="39" spans="1:7" ht="13.5" customHeight="1" x14ac:dyDescent="0.25">
      <c r="A39" s="126"/>
      <c r="B39" s="118"/>
      <c r="C39" s="174"/>
      <c r="D39" s="171"/>
      <c r="E39" s="177"/>
      <c r="F39" s="130"/>
      <c r="G39" s="126"/>
    </row>
    <row r="40" spans="1:7" ht="13.5" customHeight="1" x14ac:dyDescent="0.25">
      <c r="A40" s="126">
        <v>7</v>
      </c>
      <c r="B40" s="127" t="s">
        <v>125</v>
      </c>
      <c r="C40" s="176"/>
      <c r="D40" s="127"/>
      <c r="E40" s="177">
        <v>0.62</v>
      </c>
      <c r="F40" s="130">
        <f>F20*E40</f>
        <v>68.192250000000001</v>
      </c>
      <c r="G40" s="126" t="s">
        <v>103</v>
      </c>
    </row>
    <row r="41" spans="1:7" ht="13.5" customHeight="1" x14ac:dyDescent="0.25">
      <c r="A41" s="122"/>
      <c r="B41" s="118"/>
      <c r="C41" s="174"/>
      <c r="D41" s="118"/>
      <c r="E41" s="175"/>
      <c r="F41" s="121"/>
      <c r="G41" s="122"/>
    </row>
    <row r="42" spans="1:7" ht="13.5" customHeight="1" x14ac:dyDescent="0.25">
      <c r="A42" s="126">
        <v>8</v>
      </c>
      <c r="B42" s="127" t="s">
        <v>126</v>
      </c>
      <c r="C42" s="176"/>
      <c r="D42" s="127"/>
      <c r="E42" s="177"/>
      <c r="F42" s="130">
        <f>F20+F22+F24+F26+F31+F38+F40</f>
        <v>1209.7188680000002</v>
      </c>
      <c r="G42" s="126" t="s">
        <v>103</v>
      </c>
    </row>
    <row r="43" spans="1:7" ht="13.5" customHeight="1" x14ac:dyDescent="0.25">
      <c r="A43" s="126"/>
      <c r="B43" s="127"/>
      <c r="C43" s="176"/>
      <c r="D43" s="127"/>
      <c r="E43" s="177"/>
      <c r="F43" s="130"/>
      <c r="G43" s="126"/>
    </row>
    <row r="44" spans="1:7" ht="13.5" customHeight="1" x14ac:dyDescent="0.25">
      <c r="A44" s="126">
        <v>9</v>
      </c>
      <c r="B44" s="127" t="s">
        <v>127</v>
      </c>
      <c r="C44" s="176"/>
      <c r="D44" s="127"/>
      <c r="E44" s="177"/>
      <c r="F44" s="130"/>
      <c r="G44" s="126"/>
    </row>
    <row r="45" spans="1:7" ht="13.5" customHeight="1" x14ac:dyDescent="0.25">
      <c r="A45" s="122"/>
      <c r="B45" s="118" t="s">
        <v>128</v>
      </c>
      <c r="C45" s="174"/>
      <c r="D45" s="118"/>
      <c r="E45" s="175">
        <v>0.1</v>
      </c>
      <c r="F45" s="121">
        <f>F42*E45</f>
        <v>120.97188680000002</v>
      </c>
      <c r="G45" s="122" t="s">
        <v>103</v>
      </c>
    </row>
    <row r="46" spans="1:7" ht="13.5" customHeight="1" x14ac:dyDescent="0.25">
      <c r="A46" s="122"/>
      <c r="B46" s="118" t="s">
        <v>129</v>
      </c>
      <c r="C46" s="174"/>
      <c r="D46" s="118"/>
      <c r="E46" s="175">
        <v>0.15</v>
      </c>
      <c r="F46" s="121">
        <f>F42*E46</f>
        <v>181.45783020000002</v>
      </c>
      <c r="G46" s="122" t="s">
        <v>103</v>
      </c>
    </row>
    <row r="47" spans="1:7" ht="13.5" customHeight="1" x14ac:dyDescent="0.25">
      <c r="A47" s="122"/>
      <c r="B47" s="118"/>
      <c r="C47" s="174"/>
      <c r="D47" s="118"/>
      <c r="E47" s="175"/>
      <c r="F47" s="121"/>
      <c r="G47" s="122"/>
    </row>
    <row r="48" spans="1:7" ht="13.5" customHeight="1" x14ac:dyDescent="0.25">
      <c r="A48" s="126">
        <v>10</v>
      </c>
      <c r="B48" s="127" t="s">
        <v>130</v>
      </c>
      <c r="C48" s="176"/>
      <c r="D48" s="127"/>
      <c r="E48" s="177"/>
      <c r="F48" s="130"/>
      <c r="G48" s="126"/>
    </row>
    <row r="49" spans="1:7" ht="13.5" customHeight="1" x14ac:dyDescent="0.25">
      <c r="A49" s="122"/>
      <c r="B49" s="118" t="s">
        <v>128</v>
      </c>
      <c r="C49" s="174"/>
      <c r="D49" s="118"/>
      <c r="E49" s="175"/>
      <c r="F49" s="130">
        <f>F42+F45</f>
        <v>1330.6907548000001</v>
      </c>
      <c r="G49" s="126" t="s">
        <v>103</v>
      </c>
    </row>
    <row r="50" spans="1:7" ht="13.5" customHeight="1" x14ac:dyDescent="0.25">
      <c r="A50" s="122"/>
      <c r="B50" s="118" t="s">
        <v>129</v>
      </c>
      <c r="C50" s="174"/>
      <c r="D50" s="118"/>
      <c r="E50" s="175"/>
      <c r="F50" s="130">
        <f>F42+F46</f>
        <v>1391.1766982000001</v>
      </c>
      <c r="G50" s="126" t="s">
        <v>103</v>
      </c>
    </row>
    <row r="51" spans="1:7" ht="13.5" customHeight="1" x14ac:dyDescent="0.25">
      <c r="A51" s="113"/>
      <c r="B51" s="113"/>
      <c r="C51" s="173"/>
      <c r="D51" s="113"/>
      <c r="E51" s="144"/>
      <c r="F51" s="117"/>
      <c r="G51" s="117"/>
    </row>
    <row r="52" spans="1:7" ht="13.5" customHeight="1" x14ac:dyDescent="0.25">
      <c r="A52" s="113"/>
      <c r="B52" s="113"/>
      <c r="C52" s="173"/>
      <c r="D52" s="113"/>
      <c r="E52" s="144"/>
      <c r="F52" s="117"/>
      <c r="G52" s="113"/>
    </row>
    <row r="53" spans="1:7" ht="13.5" customHeight="1" x14ac:dyDescent="0.25">
      <c r="A53" s="31"/>
      <c r="B53" s="90" t="s">
        <v>56</v>
      </c>
      <c r="C53" s="90"/>
      <c r="D53" s="90"/>
      <c r="E53" s="31"/>
      <c r="F53" s="67" t="s">
        <v>58</v>
      </c>
      <c r="G53" s="31"/>
    </row>
    <row r="54" spans="1:7" ht="13.5" customHeight="1" x14ac:dyDescent="0.25">
      <c r="A54" s="31"/>
      <c r="B54" s="91" t="s">
        <v>57</v>
      </c>
      <c r="C54" s="90"/>
      <c r="D54" s="90"/>
      <c r="E54" s="31"/>
      <c r="F54" s="42"/>
      <c r="G54" s="31"/>
    </row>
  </sheetData>
  <mergeCells count="11">
    <mergeCell ref="B10:D10"/>
    <mergeCell ref="C24:D24"/>
    <mergeCell ref="C29:D29"/>
    <mergeCell ref="C30:D30"/>
    <mergeCell ref="C31:D31"/>
    <mergeCell ref="A6:G6"/>
    <mergeCell ref="A7:G7"/>
    <mergeCell ref="A8:A9"/>
    <mergeCell ref="B8:D9"/>
    <mergeCell ref="E8:E9"/>
    <mergeCell ref="F8:G8"/>
  </mergeCell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0"/>
  <sheetViews>
    <sheetView topLeftCell="A7" workbookViewId="0">
      <selection activeCell="G13" sqref="G13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17" t="s">
        <v>187</v>
      </c>
      <c r="B1" s="317"/>
      <c r="C1" s="317"/>
      <c r="D1" s="317"/>
      <c r="E1" s="317"/>
      <c r="F1" s="317"/>
      <c r="G1" s="317"/>
    </row>
    <row r="2" spans="1:7" x14ac:dyDescent="0.25">
      <c r="A2" s="316" t="s">
        <v>135</v>
      </c>
      <c r="B2" s="316"/>
      <c r="C2" s="316"/>
      <c r="D2" s="316"/>
      <c r="E2" s="316"/>
      <c r="F2" s="316"/>
      <c r="G2" s="3"/>
    </row>
    <row r="3" spans="1:7" x14ac:dyDescent="0.25">
      <c r="A3" s="94"/>
      <c r="B3" s="5">
        <f>'План. расчет времени'!F26</f>
        <v>466.64199998945037</v>
      </c>
      <c r="C3" s="3" t="s">
        <v>136</v>
      </c>
      <c r="D3" s="3"/>
      <c r="E3" s="3"/>
      <c r="F3" s="3"/>
      <c r="G3" s="3"/>
    </row>
    <row r="4" spans="1:7" x14ac:dyDescent="0.25">
      <c r="A4" s="316" t="s">
        <v>137</v>
      </c>
      <c r="B4" s="316"/>
      <c r="C4" s="316"/>
      <c r="D4" s="316"/>
      <c r="E4" s="316"/>
      <c r="F4" s="316"/>
      <c r="G4" s="93"/>
    </row>
    <row r="5" spans="1:7" x14ac:dyDescent="0.25">
      <c r="A5" s="3"/>
      <c r="B5" s="3">
        <v>40</v>
      </c>
      <c r="C5" s="3" t="s">
        <v>136</v>
      </c>
      <c r="D5" s="3"/>
      <c r="E5" s="3"/>
      <c r="F5" s="3"/>
      <c r="G5" s="93"/>
    </row>
    <row r="6" spans="1:7" x14ac:dyDescent="0.25">
      <c r="A6" s="316" t="s">
        <v>188</v>
      </c>
      <c r="B6" s="316"/>
      <c r="C6" s="316"/>
      <c r="D6" s="316"/>
      <c r="E6" s="316"/>
      <c r="F6" s="316"/>
      <c r="G6" s="93"/>
    </row>
    <row r="7" spans="1:7" x14ac:dyDescent="0.25">
      <c r="A7" s="316" t="s">
        <v>139</v>
      </c>
      <c r="B7" s="316"/>
      <c r="C7" s="316"/>
      <c r="D7" s="316"/>
      <c r="E7" s="316"/>
      <c r="F7" s="316"/>
      <c r="G7" s="316"/>
    </row>
    <row r="8" spans="1:7" x14ac:dyDescent="0.25">
      <c r="A8" s="316" t="s">
        <v>140</v>
      </c>
      <c r="B8" s="316"/>
      <c r="C8" s="316"/>
      <c r="D8" s="316"/>
      <c r="E8" s="316"/>
      <c r="F8" s="316"/>
      <c r="G8" s="3"/>
    </row>
    <row r="9" spans="1:7" x14ac:dyDescent="0.25">
      <c r="A9" s="93"/>
      <c r="B9" s="93"/>
      <c r="C9" s="93"/>
      <c r="D9" s="3">
        <v>120</v>
      </c>
      <c r="E9" s="3" t="s">
        <v>136</v>
      </c>
      <c r="F9" s="3"/>
      <c r="G9" s="3"/>
    </row>
    <row r="10" spans="1:7" x14ac:dyDescent="0.25">
      <c r="A10" s="319" t="s">
        <v>141</v>
      </c>
      <c r="B10" s="319"/>
      <c r="C10" s="319"/>
      <c r="D10" s="5">
        <f>B3-B5-D9</f>
        <v>306.64199998945037</v>
      </c>
      <c r="E10" s="3" t="s">
        <v>136</v>
      </c>
      <c r="F10" s="3"/>
      <c r="G10" s="93"/>
    </row>
    <row r="11" spans="1:7" x14ac:dyDescent="0.25">
      <c r="A11" s="93"/>
      <c r="B11" s="93"/>
      <c r="C11" s="93"/>
      <c r="D11" s="93"/>
      <c r="E11" s="93"/>
      <c r="F11" s="93"/>
      <c r="G11" s="93"/>
    </row>
    <row r="12" spans="1:7" x14ac:dyDescent="0.25">
      <c r="A12" s="316" t="s">
        <v>142</v>
      </c>
      <c r="B12" s="316"/>
      <c r="C12" s="316"/>
      <c r="D12" s="316"/>
      <c r="E12" s="316"/>
      <c r="F12" s="3">
        <v>84437</v>
      </c>
      <c r="G12" s="3" t="s">
        <v>103</v>
      </c>
    </row>
    <row r="13" spans="1:7" x14ac:dyDescent="0.25">
      <c r="A13" s="93"/>
      <c r="B13" s="93"/>
      <c r="C13" s="3"/>
      <c r="D13" s="3"/>
      <c r="E13" s="3"/>
      <c r="F13" s="94"/>
      <c r="G13" s="94"/>
    </row>
    <row r="14" spans="1:7" ht="15.75" thickBot="1" x14ac:dyDescent="0.3">
      <c r="A14" s="375" t="s">
        <v>143</v>
      </c>
      <c r="B14" s="373" t="s">
        <v>144</v>
      </c>
      <c r="C14" s="373"/>
      <c r="D14" s="373"/>
      <c r="E14" s="3"/>
      <c r="F14" s="94"/>
      <c r="G14" s="94"/>
    </row>
    <row r="15" spans="1:7" x14ac:dyDescent="0.25">
      <c r="A15" s="375"/>
      <c r="B15" s="374" t="s">
        <v>145</v>
      </c>
      <c r="C15" s="374"/>
      <c r="D15" s="374"/>
      <c r="E15" s="3"/>
      <c r="F15" s="94"/>
      <c r="G15" s="94"/>
    </row>
    <row r="16" spans="1:7" x14ac:dyDescent="0.25">
      <c r="A16" s="99"/>
      <c r="B16" s="100"/>
      <c r="C16" s="100"/>
      <c r="D16" s="100"/>
      <c r="E16" s="3"/>
      <c r="F16" s="94"/>
      <c r="G16" s="94"/>
    </row>
    <row r="17" spans="1:7" ht="15.75" thickBot="1" x14ac:dyDescent="0.3">
      <c r="A17" s="372" t="s">
        <v>146</v>
      </c>
      <c r="B17" s="372"/>
      <c r="C17" s="373" t="s">
        <v>147</v>
      </c>
      <c r="D17" s="373"/>
      <c r="E17" s="373"/>
      <c r="F17" s="94"/>
      <c r="G17" s="94"/>
    </row>
    <row r="18" spans="1:7" x14ac:dyDescent="0.25">
      <c r="A18" s="372"/>
      <c r="B18" s="372"/>
      <c r="C18" s="374" t="s">
        <v>145</v>
      </c>
      <c r="D18" s="374"/>
      <c r="E18" s="374"/>
      <c r="F18" s="94"/>
      <c r="G18" s="94"/>
    </row>
    <row r="19" spans="1:7" x14ac:dyDescent="0.25">
      <c r="A19" s="9"/>
      <c r="B19" s="9"/>
      <c r="C19" s="101"/>
      <c r="D19" s="101"/>
      <c r="E19" s="101"/>
      <c r="F19" s="94"/>
      <c r="G19" s="94"/>
    </row>
    <row r="20" spans="1:7" x14ac:dyDescent="0.25">
      <c r="A20" s="9"/>
      <c r="B20" s="9"/>
      <c r="C20" s="101"/>
      <c r="D20" s="101"/>
      <c r="E20" s="320" t="s">
        <v>13</v>
      </c>
      <c r="F20" s="320"/>
      <c r="G20" s="94"/>
    </row>
    <row r="21" spans="1:7" x14ac:dyDescent="0.25">
      <c r="A21" s="321" t="s">
        <v>148</v>
      </c>
      <c r="B21" s="321"/>
      <c r="C21" s="321"/>
      <c r="D21" s="321"/>
      <c r="E21" s="321"/>
      <c r="F21" s="321"/>
      <c r="G21" s="94"/>
    </row>
    <row r="22" spans="1:7" x14ac:dyDescent="0.25">
      <c r="A22" s="377" t="s">
        <v>149</v>
      </c>
      <c r="B22" s="379" t="s">
        <v>16</v>
      </c>
      <c r="C22" s="380"/>
      <c r="D22" s="380"/>
      <c r="E22" s="381" t="s">
        <v>150</v>
      </c>
      <c r="F22" s="381"/>
      <c r="G22" s="102"/>
    </row>
    <row r="23" spans="1:7" ht="45" x14ac:dyDescent="0.25">
      <c r="A23" s="378"/>
      <c r="B23" s="103" t="s">
        <v>151</v>
      </c>
      <c r="C23" s="103" t="s">
        <v>152</v>
      </c>
      <c r="D23" s="104" t="s">
        <v>153</v>
      </c>
      <c r="E23" s="103" t="s">
        <v>154</v>
      </c>
      <c r="F23" s="103" t="s">
        <v>155</v>
      </c>
      <c r="G23" s="105"/>
    </row>
    <row r="24" spans="1:7" x14ac:dyDescent="0.25">
      <c r="A24" s="106" t="s">
        <v>189</v>
      </c>
      <c r="B24" s="107">
        <v>0</v>
      </c>
      <c r="C24" s="108">
        <f>F12</f>
        <v>84437</v>
      </c>
      <c r="D24" s="109">
        <f>D10</f>
        <v>306.64199998945037</v>
      </c>
      <c r="E24" s="108">
        <f>B24/D24</f>
        <v>0</v>
      </c>
      <c r="F24" s="107">
        <f>C24/D24</f>
        <v>275.36019202491815</v>
      </c>
      <c r="G24" s="12"/>
    </row>
    <row r="25" spans="1:7" x14ac:dyDescent="0.25">
      <c r="A25" s="94"/>
      <c r="B25" s="94"/>
      <c r="C25" s="94"/>
      <c r="D25" s="94"/>
      <c r="E25" s="94"/>
      <c r="F25" s="94"/>
      <c r="G25" s="94"/>
    </row>
    <row r="26" spans="1:7" x14ac:dyDescent="0.25">
      <c r="A26" s="94"/>
      <c r="B26" s="94"/>
      <c r="C26" s="94"/>
      <c r="D26" s="94"/>
      <c r="E26" s="94"/>
      <c r="F26" s="94"/>
      <c r="G26" s="94"/>
    </row>
    <row r="27" spans="1:7" x14ac:dyDescent="0.25">
      <c r="A27" s="94"/>
      <c r="B27" s="94"/>
      <c r="C27" s="94"/>
      <c r="D27" s="94"/>
      <c r="E27" s="94"/>
      <c r="F27" s="94"/>
      <c r="G27" s="94"/>
    </row>
    <row r="28" spans="1:7" x14ac:dyDescent="0.25">
      <c r="A28" s="94"/>
      <c r="B28" s="94"/>
      <c r="C28" s="94"/>
      <c r="D28" s="94"/>
      <c r="E28" s="94"/>
      <c r="F28" s="94"/>
      <c r="G28" s="94"/>
    </row>
    <row r="29" spans="1:7" ht="15.75" x14ac:dyDescent="0.25">
      <c r="A29" s="382" t="s">
        <v>56</v>
      </c>
      <c r="B29" s="382"/>
      <c r="C29" s="382"/>
      <c r="D29" s="31"/>
      <c r="E29" s="340" t="s">
        <v>58</v>
      </c>
      <c r="F29" s="340"/>
      <c r="G29" s="340"/>
    </row>
    <row r="30" spans="1:7" ht="15.75" x14ac:dyDescent="0.25">
      <c r="A30" s="376" t="s">
        <v>57</v>
      </c>
      <c r="B30" s="376"/>
      <c r="C30" s="376"/>
      <c r="D30" s="31"/>
      <c r="E30" s="31"/>
      <c r="F30" s="91"/>
      <c r="G30" s="31"/>
    </row>
  </sheetData>
  <mergeCells count="22">
    <mergeCell ref="A30:C30"/>
    <mergeCell ref="E20:F20"/>
    <mergeCell ref="A21:F21"/>
    <mergeCell ref="A22:A23"/>
    <mergeCell ref="B22:D22"/>
    <mergeCell ref="E22:F22"/>
    <mergeCell ref="A29:C29"/>
    <mergeCell ref="E29:G29"/>
    <mergeCell ref="A17:B18"/>
    <mergeCell ref="C17:E17"/>
    <mergeCell ref="C18:E18"/>
    <mergeCell ref="A1:G1"/>
    <mergeCell ref="A2:F2"/>
    <mergeCell ref="A4:F4"/>
    <mergeCell ref="A6:F6"/>
    <mergeCell ref="A7:G7"/>
    <mergeCell ref="A8:F8"/>
    <mergeCell ref="A10:C10"/>
    <mergeCell ref="A12:E12"/>
    <mergeCell ref="A14:A15"/>
    <mergeCell ref="B14:D14"/>
    <mergeCell ref="B15:D1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50"/>
  <sheetViews>
    <sheetView workbookViewId="0">
      <selection activeCell="J14" sqref="J14"/>
    </sheetView>
  </sheetViews>
  <sheetFormatPr defaultRowHeight="15" x14ac:dyDescent="0.25"/>
  <cols>
    <col min="1" max="1" width="5.42578125" customWidth="1"/>
    <col min="2" max="2" width="31" customWidth="1"/>
    <col min="3" max="3" width="8.85546875" customWidth="1"/>
    <col min="4" max="4" width="13.85546875" customWidth="1"/>
    <col min="5" max="5" width="10.42578125" customWidth="1"/>
    <col min="6" max="6" width="17.85546875" customWidth="1"/>
    <col min="7" max="7" width="9.28515625" customWidth="1"/>
    <col min="8" max="8" width="15.7109375" customWidth="1"/>
    <col min="9" max="9" width="12.42578125" customWidth="1"/>
  </cols>
  <sheetData>
    <row r="1" spans="1:9" ht="12.75" customHeight="1" x14ac:dyDescent="0.25">
      <c r="A1" s="113"/>
      <c r="B1" s="113"/>
      <c r="C1" s="144"/>
      <c r="D1" s="144"/>
      <c r="E1" s="144"/>
      <c r="F1" s="117"/>
      <c r="G1" s="113"/>
      <c r="H1" s="117"/>
      <c r="I1" s="115" t="s">
        <v>60</v>
      </c>
    </row>
    <row r="2" spans="1:9" ht="12.75" customHeight="1" x14ac:dyDescent="0.25">
      <c r="A2" s="113"/>
      <c r="B2" s="113"/>
      <c r="C2" s="144"/>
      <c r="D2" s="144"/>
      <c r="E2" s="144"/>
      <c r="F2" s="117"/>
      <c r="G2" s="113"/>
      <c r="H2" s="117"/>
      <c r="I2" s="115" t="s">
        <v>61</v>
      </c>
    </row>
    <row r="3" spans="1:9" ht="12.75" customHeight="1" x14ac:dyDescent="0.25">
      <c r="A3" s="113"/>
      <c r="B3" s="113"/>
      <c r="C3" s="144"/>
      <c r="D3" s="144"/>
      <c r="E3" s="144"/>
      <c r="F3" s="117"/>
      <c r="G3" s="113"/>
      <c r="H3" s="117"/>
      <c r="I3" s="115" t="s">
        <v>414</v>
      </c>
    </row>
    <row r="4" spans="1:9" ht="12.75" customHeight="1" x14ac:dyDescent="0.25">
      <c r="A4" s="113"/>
      <c r="B4" s="113"/>
      <c r="C4" s="144"/>
      <c r="D4" s="144"/>
      <c r="E4" s="144"/>
      <c r="F4" s="117"/>
      <c r="G4" s="113"/>
      <c r="H4" s="117"/>
      <c r="I4" s="115" t="s">
        <v>420</v>
      </c>
    </row>
    <row r="5" spans="1:9" ht="12.75" customHeight="1" x14ac:dyDescent="0.25">
      <c r="A5" s="394" t="s">
        <v>98</v>
      </c>
      <c r="B5" s="394"/>
      <c r="C5" s="394"/>
      <c r="D5" s="394"/>
      <c r="E5" s="394"/>
      <c r="F5" s="394"/>
      <c r="G5" s="394"/>
      <c r="H5" s="394"/>
      <c r="I5" s="394"/>
    </row>
    <row r="6" spans="1:9" ht="12.75" customHeight="1" x14ac:dyDescent="0.25">
      <c r="A6" s="394" t="s">
        <v>190</v>
      </c>
      <c r="B6" s="394"/>
      <c r="C6" s="394"/>
      <c r="D6" s="394"/>
      <c r="E6" s="394"/>
      <c r="F6" s="394"/>
      <c r="G6" s="394"/>
      <c r="H6" s="394"/>
      <c r="I6" s="394"/>
    </row>
    <row r="7" spans="1:9" ht="12.75" customHeight="1" x14ac:dyDescent="0.25">
      <c r="A7" s="350" t="s">
        <v>14</v>
      </c>
      <c r="B7" s="388" t="s">
        <v>100</v>
      </c>
      <c r="C7" s="389"/>
      <c r="D7" s="389"/>
      <c r="E7" s="390"/>
      <c r="F7" s="354" t="s">
        <v>101</v>
      </c>
      <c r="G7" s="354"/>
      <c r="H7" s="354"/>
      <c r="I7" s="354"/>
    </row>
    <row r="8" spans="1:9" ht="12.75" customHeight="1" x14ac:dyDescent="0.25">
      <c r="A8" s="425"/>
      <c r="B8" s="426"/>
      <c r="C8" s="427"/>
      <c r="D8" s="427"/>
      <c r="E8" s="428"/>
      <c r="F8" s="354" t="s">
        <v>191</v>
      </c>
      <c r="G8" s="354"/>
      <c r="H8" s="354" t="s">
        <v>192</v>
      </c>
      <c r="I8" s="354"/>
    </row>
    <row r="9" spans="1:9" ht="12.75" customHeight="1" x14ac:dyDescent="0.25">
      <c r="A9" s="351"/>
      <c r="B9" s="391"/>
      <c r="C9" s="392"/>
      <c r="D9" s="392"/>
      <c r="E9" s="393"/>
      <c r="F9" s="70" t="s">
        <v>102</v>
      </c>
      <c r="G9" s="97" t="s">
        <v>64</v>
      </c>
      <c r="H9" s="70" t="s">
        <v>102</v>
      </c>
      <c r="I9" s="97" t="s">
        <v>64</v>
      </c>
    </row>
    <row r="10" spans="1:9" ht="12.75" customHeight="1" x14ac:dyDescent="0.25">
      <c r="A10" s="118"/>
      <c r="B10" s="118" t="s">
        <v>158</v>
      </c>
      <c r="C10" s="122"/>
      <c r="D10" s="122"/>
      <c r="E10" s="122"/>
      <c r="F10" s="121">
        <f>H10/40</f>
        <v>1.8585</v>
      </c>
      <c r="G10" s="122" t="s">
        <v>103</v>
      </c>
      <c r="H10" s="121">
        <v>74.34</v>
      </c>
      <c r="I10" s="122" t="s">
        <v>103</v>
      </c>
    </row>
    <row r="11" spans="1:9" ht="3" customHeight="1" x14ac:dyDescent="0.25">
      <c r="A11" s="118"/>
      <c r="B11" s="118"/>
      <c r="C11" s="122"/>
      <c r="D11" s="122"/>
      <c r="E11" s="122"/>
      <c r="F11" s="121"/>
      <c r="G11" s="122"/>
      <c r="H11" s="121"/>
      <c r="I11" s="122"/>
    </row>
    <row r="12" spans="1:9" ht="12.75" customHeight="1" x14ac:dyDescent="0.25">
      <c r="A12" s="118"/>
      <c r="B12" s="118" t="s">
        <v>104</v>
      </c>
      <c r="C12" s="122"/>
      <c r="D12" s="122"/>
      <c r="E12" s="175">
        <v>0.25</v>
      </c>
      <c r="F12" s="121">
        <f>F10*E12</f>
        <v>0.46462500000000001</v>
      </c>
      <c r="G12" s="122" t="s">
        <v>103</v>
      </c>
      <c r="H12" s="121">
        <f>H10*E12</f>
        <v>18.585000000000001</v>
      </c>
      <c r="I12" s="122" t="s">
        <v>103</v>
      </c>
    </row>
    <row r="13" spans="1:9" ht="3" customHeight="1" x14ac:dyDescent="0.25">
      <c r="A13" s="118"/>
      <c r="B13" s="118"/>
      <c r="C13" s="122"/>
      <c r="D13" s="122"/>
      <c r="E13" s="122"/>
      <c r="F13" s="121"/>
      <c r="G13" s="122"/>
      <c r="H13" s="121"/>
      <c r="I13" s="122"/>
    </row>
    <row r="14" spans="1:9" ht="12.75" customHeight="1" x14ac:dyDescent="0.25">
      <c r="A14" s="118"/>
      <c r="B14" s="118" t="s">
        <v>105</v>
      </c>
      <c r="C14" s="122"/>
      <c r="D14" s="122"/>
      <c r="E14" s="175">
        <v>0.1</v>
      </c>
      <c r="F14" s="121">
        <f>F10*E14</f>
        <v>0.18585000000000002</v>
      </c>
      <c r="G14" s="122" t="str">
        <f>G12</f>
        <v>руб.</v>
      </c>
      <c r="H14" s="121">
        <f>H10*E14</f>
        <v>7.4340000000000011</v>
      </c>
      <c r="I14" s="122" t="str">
        <f>I12</f>
        <v>руб.</v>
      </c>
    </row>
    <row r="15" spans="1:9" ht="3" customHeight="1" x14ac:dyDescent="0.25">
      <c r="A15" s="118"/>
      <c r="B15" s="118"/>
      <c r="C15" s="122"/>
      <c r="D15" s="122"/>
      <c r="E15" s="122"/>
      <c r="F15" s="121"/>
      <c r="G15" s="122"/>
      <c r="H15" s="121"/>
      <c r="I15" s="122"/>
    </row>
    <row r="16" spans="1:9" ht="12.75" customHeight="1" x14ac:dyDescent="0.25">
      <c r="A16" s="118"/>
      <c r="B16" s="118" t="s">
        <v>106</v>
      </c>
      <c r="C16" s="122"/>
      <c r="D16" s="122"/>
      <c r="E16" s="175">
        <v>0.4</v>
      </c>
      <c r="F16" s="121">
        <f>F10*E16</f>
        <v>0.74340000000000006</v>
      </c>
      <c r="G16" s="122" t="s">
        <v>103</v>
      </c>
      <c r="H16" s="121">
        <f>H10*E16</f>
        <v>29.736000000000004</v>
      </c>
      <c r="I16" s="122" t="s">
        <v>103</v>
      </c>
    </row>
    <row r="17" spans="1:9" ht="3" customHeight="1" x14ac:dyDescent="0.25">
      <c r="A17" s="118"/>
      <c r="B17" s="118"/>
      <c r="C17" s="122"/>
      <c r="D17" s="122"/>
      <c r="E17" s="175"/>
      <c r="F17" s="121"/>
      <c r="G17" s="122"/>
      <c r="H17" s="121"/>
      <c r="I17" s="122"/>
    </row>
    <row r="18" spans="1:9" ht="12.75" customHeight="1" x14ac:dyDescent="0.25">
      <c r="A18" s="118"/>
      <c r="B18" s="118" t="s">
        <v>107</v>
      </c>
      <c r="C18" s="122"/>
      <c r="D18" s="122"/>
      <c r="E18" s="122"/>
      <c r="F18" s="121" t="s">
        <v>193</v>
      </c>
      <c r="G18" s="122"/>
      <c r="H18" s="121">
        <v>60</v>
      </c>
      <c r="I18" s="122" t="s">
        <v>108</v>
      </c>
    </row>
    <row r="19" spans="1:9" ht="3" customHeight="1" x14ac:dyDescent="0.25">
      <c r="A19" s="118"/>
      <c r="B19" s="118"/>
      <c r="C19" s="122"/>
      <c r="D19" s="122"/>
      <c r="E19" s="122"/>
      <c r="F19" s="121"/>
      <c r="G19" s="118"/>
      <c r="H19" s="121"/>
      <c r="I19" s="118"/>
    </row>
    <row r="20" spans="1:9" ht="12.75" customHeight="1" x14ac:dyDescent="0.25">
      <c r="A20" s="126">
        <v>1</v>
      </c>
      <c r="B20" s="127" t="s">
        <v>109</v>
      </c>
      <c r="C20" s="126"/>
      <c r="D20" s="126"/>
      <c r="E20" s="126"/>
      <c r="F20" s="130">
        <f>F10+F12+F14+F16</f>
        <v>3.2523749999999998</v>
      </c>
      <c r="G20" s="126" t="s">
        <v>103</v>
      </c>
      <c r="H20" s="130">
        <f>H10+H12+H14+H16</f>
        <v>130.09500000000003</v>
      </c>
      <c r="I20" s="126" t="s">
        <v>103</v>
      </c>
    </row>
    <row r="21" spans="1:9" ht="3" customHeight="1" x14ac:dyDescent="0.25">
      <c r="A21" s="126"/>
      <c r="B21" s="127"/>
      <c r="C21" s="126"/>
      <c r="D21" s="122"/>
      <c r="E21" s="122"/>
      <c r="F21" s="121"/>
      <c r="G21" s="122"/>
      <c r="H21" s="121"/>
      <c r="I21" s="122"/>
    </row>
    <row r="22" spans="1:9" ht="12.75" customHeight="1" x14ac:dyDescent="0.25">
      <c r="A22" s="126">
        <v>2</v>
      </c>
      <c r="B22" s="127" t="s">
        <v>110</v>
      </c>
      <c r="C22" s="126"/>
      <c r="D22" s="126"/>
      <c r="E22" s="177">
        <v>0.30199999999999999</v>
      </c>
      <c r="F22" s="130">
        <f>E22*F20</f>
        <v>0.98221724999999993</v>
      </c>
      <c r="G22" s="126" t="s">
        <v>103</v>
      </c>
      <c r="H22" s="130">
        <f>E22*H20</f>
        <v>39.28869000000001</v>
      </c>
      <c r="I22" s="126" t="s">
        <v>103</v>
      </c>
    </row>
    <row r="23" spans="1:9" ht="3" customHeight="1" x14ac:dyDescent="0.25">
      <c r="A23" s="126"/>
      <c r="B23" s="127"/>
      <c r="C23" s="126"/>
      <c r="D23" s="122"/>
      <c r="E23" s="175"/>
      <c r="F23" s="121"/>
      <c r="G23" s="122"/>
      <c r="H23" s="121"/>
      <c r="I23" s="122"/>
    </row>
    <row r="24" spans="1:9" ht="12.75" customHeight="1" x14ac:dyDescent="0.25">
      <c r="A24" s="126">
        <v>3</v>
      </c>
      <c r="B24" s="127" t="s">
        <v>111</v>
      </c>
      <c r="C24" s="423" t="s">
        <v>194</v>
      </c>
      <c r="D24" s="424"/>
      <c r="E24" s="177"/>
      <c r="F24" s="130">
        <v>0</v>
      </c>
      <c r="G24" s="126" t="s">
        <v>103</v>
      </c>
      <c r="H24" s="130">
        <v>0</v>
      </c>
      <c r="I24" s="126" t="s">
        <v>103</v>
      </c>
    </row>
    <row r="25" spans="1:9" ht="3" customHeight="1" x14ac:dyDescent="0.25">
      <c r="A25" s="126"/>
      <c r="B25" s="127"/>
      <c r="C25" s="126"/>
      <c r="D25" s="122"/>
      <c r="E25" s="175"/>
      <c r="F25" s="121"/>
      <c r="G25" s="122"/>
      <c r="H25" s="121"/>
      <c r="I25" s="122"/>
    </row>
    <row r="26" spans="1:9" ht="12.75" customHeight="1" x14ac:dyDescent="0.25">
      <c r="A26" s="126">
        <v>4</v>
      </c>
      <c r="B26" s="127" t="s">
        <v>113</v>
      </c>
      <c r="C26" s="126"/>
      <c r="D26" s="126"/>
      <c r="E26" s="177"/>
      <c r="F26" s="130">
        <f>H26/40</f>
        <v>12.4999377066713</v>
      </c>
      <c r="G26" s="126" t="s">
        <v>103</v>
      </c>
      <c r="H26" s="130">
        <f>'Пробег Урал'!F38</f>
        <v>499.99750826685204</v>
      </c>
      <c r="I26" s="126" t="s">
        <v>103</v>
      </c>
    </row>
    <row r="27" spans="1:9" ht="3" customHeight="1" x14ac:dyDescent="0.25">
      <c r="A27" s="126"/>
      <c r="B27" s="127"/>
      <c r="C27" s="126"/>
      <c r="D27" s="122"/>
      <c r="E27" s="175"/>
      <c r="F27" s="121"/>
      <c r="G27" s="122"/>
      <c r="H27" s="121"/>
      <c r="I27" s="122"/>
    </row>
    <row r="28" spans="1:9" ht="12.75" customHeight="1" x14ac:dyDescent="0.25">
      <c r="A28" s="126">
        <v>5</v>
      </c>
      <c r="B28" s="127" t="s">
        <v>161</v>
      </c>
      <c r="C28" s="124" t="s">
        <v>195</v>
      </c>
      <c r="D28" s="122"/>
      <c r="E28" s="179"/>
      <c r="F28" s="121">
        <f>0.42*1</f>
        <v>0.42</v>
      </c>
      <c r="G28" s="122" t="s">
        <v>116</v>
      </c>
      <c r="H28" s="133">
        <v>6.7</v>
      </c>
      <c r="I28" s="122" t="s">
        <v>116</v>
      </c>
    </row>
    <row r="29" spans="1:9" ht="3" customHeight="1" x14ac:dyDescent="0.25">
      <c r="A29" s="126"/>
      <c r="B29" s="127"/>
      <c r="C29" s="124"/>
      <c r="D29" s="122"/>
      <c r="E29" s="179"/>
      <c r="F29" s="121"/>
      <c r="G29" s="122"/>
    </row>
    <row r="30" spans="1:9" ht="12.75" customHeight="1" x14ac:dyDescent="0.25">
      <c r="A30" s="126">
        <v>6</v>
      </c>
      <c r="B30" s="127" t="s">
        <v>117</v>
      </c>
      <c r="C30" s="124"/>
      <c r="D30" s="122"/>
      <c r="E30" s="179">
        <v>35.1</v>
      </c>
      <c r="F30" s="135">
        <f>F28*E30</f>
        <v>14.742000000000001</v>
      </c>
      <c r="G30" s="126" t="s">
        <v>103</v>
      </c>
      <c r="H30" s="135">
        <f>H28*E30</f>
        <v>235.17000000000002</v>
      </c>
      <c r="I30" s="126" t="s">
        <v>103</v>
      </c>
    </row>
    <row r="31" spans="1:9" ht="3" customHeight="1" x14ac:dyDescent="0.25">
      <c r="C31" s="186"/>
      <c r="D31" s="122"/>
      <c r="E31" s="179"/>
      <c r="F31" s="121"/>
      <c r="G31" s="122"/>
      <c r="H31" s="133"/>
      <c r="I31" s="122"/>
    </row>
    <row r="32" spans="1:9" ht="12.75" customHeight="1" x14ac:dyDescent="0.25">
      <c r="A32" s="126"/>
      <c r="B32" s="118" t="s">
        <v>118</v>
      </c>
      <c r="C32" s="151">
        <v>2.8000000000000001E-2</v>
      </c>
      <c r="D32" s="187" t="s">
        <v>196</v>
      </c>
      <c r="E32" s="188">
        <v>142.52000000000001</v>
      </c>
      <c r="F32" s="121">
        <f>C32*$F$28*E32</f>
        <v>1.6760352000000001</v>
      </c>
      <c r="G32" s="122" t="s">
        <v>103</v>
      </c>
      <c r="H32" s="133">
        <f>C32*$H$28*E32</f>
        <v>26.736752000000003</v>
      </c>
      <c r="I32" s="122" t="s">
        <v>103</v>
      </c>
    </row>
    <row r="33" spans="1:9" ht="12.75" customHeight="1" x14ac:dyDescent="0.25">
      <c r="A33" s="126"/>
      <c r="B33" s="118" t="s">
        <v>120</v>
      </c>
      <c r="C33" s="151">
        <v>3.0000000000000001E-3</v>
      </c>
      <c r="D33" s="189" t="s">
        <v>197</v>
      </c>
      <c r="E33" s="188">
        <v>88.65</v>
      </c>
      <c r="F33" s="121">
        <f>C33*$F$28*E33</f>
        <v>0.11169900000000001</v>
      </c>
      <c r="G33" s="122" t="s">
        <v>103</v>
      </c>
      <c r="H33" s="133">
        <f>C33*$H$28*E33</f>
        <v>1.781865</v>
      </c>
      <c r="I33" s="122" t="s">
        <v>103</v>
      </c>
    </row>
    <row r="34" spans="1:9" ht="12.75" customHeight="1" x14ac:dyDescent="0.25">
      <c r="A34" s="126"/>
      <c r="B34" s="118" t="s">
        <v>122</v>
      </c>
      <c r="C34" s="151">
        <v>1E-3</v>
      </c>
      <c r="D34" s="189" t="s">
        <v>198</v>
      </c>
      <c r="E34" s="188">
        <v>56.75</v>
      </c>
      <c r="F34" s="121">
        <f>C34*$F$28*E34</f>
        <v>2.3835000000000002E-2</v>
      </c>
      <c r="G34" s="122" t="s">
        <v>103</v>
      </c>
      <c r="H34" s="133">
        <f>C34*$H$28*E34</f>
        <v>0.38022500000000004</v>
      </c>
      <c r="I34" s="122" t="s">
        <v>103</v>
      </c>
    </row>
    <row r="35" spans="1:9" ht="12.75" customHeight="1" x14ac:dyDescent="0.25">
      <c r="A35" s="126"/>
      <c r="B35" s="118" t="s">
        <v>123</v>
      </c>
      <c r="C35" s="155">
        <v>2E-3</v>
      </c>
      <c r="D35" s="190" t="s">
        <v>197</v>
      </c>
      <c r="E35" s="188">
        <v>100.17</v>
      </c>
      <c r="F35" s="121">
        <f>C35*$F$28*E35</f>
        <v>8.4142800000000004E-2</v>
      </c>
      <c r="G35" s="122" t="s">
        <v>103</v>
      </c>
      <c r="H35" s="133">
        <f>C35*$H$28*E35</f>
        <v>1.3422780000000001</v>
      </c>
      <c r="I35" s="122" t="s">
        <v>103</v>
      </c>
    </row>
    <row r="36" spans="1:9" ht="12.75" customHeight="1" x14ac:dyDescent="0.25">
      <c r="A36" s="126"/>
      <c r="B36" s="118" t="s">
        <v>124</v>
      </c>
      <c r="C36" s="126"/>
      <c r="D36" s="191"/>
      <c r="E36" s="177"/>
      <c r="F36" s="130">
        <f>SUM(F32:F35)</f>
        <v>1.8957120000000001</v>
      </c>
      <c r="G36" s="122" t="s">
        <v>103</v>
      </c>
      <c r="H36" s="130">
        <f>SUM(H32:H35)</f>
        <v>30.241120000000002</v>
      </c>
      <c r="I36" s="122" t="s">
        <v>103</v>
      </c>
    </row>
    <row r="37" spans="1:9" ht="12.75" customHeight="1" x14ac:dyDescent="0.25">
      <c r="A37" s="126">
        <v>7</v>
      </c>
      <c r="B37" s="127" t="s">
        <v>125</v>
      </c>
      <c r="C37" s="126"/>
      <c r="D37" s="126"/>
      <c r="E37" s="177">
        <v>0.62</v>
      </c>
      <c r="F37" s="130">
        <f>F20*E37</f>
        <v>2.0164724999999999</v>
      </c>
      <c r="G37" s="126" t="s">
        <v>103</v>
      </c>
      <c r="H37" s="130">
        <f>H20*E37</f>
        <v>80.658900000000017</v>
      </c>
      <c r="I37" s="126" t="s">
        <v>103</v>
      </c>
    </row>
    <row r="38" spans="1:9" ht="3" customHeight="1" x14ac:dyDescent="0.25">
      <c r="A38" s="122"/>
      <c r="B38" s="118"/>
      <c r="C38" s="122"/>
      <c r="D38" s="122"/>
      <c r="E38" s="175"/>
      <c r="F38" s="121"/>
      <c r="G38" s="122"/>
      <c r="H38" s="121"/>
      <c r="I38" s="122"/>
    </row>
    <row r="39" spans="1:9" ht="12.75" customHeight="1" x14ac:dyDescent="0.25">
      <c r="A39" s="126">
        <v>8</v>
      </c>
      <c r="B39" s="127" t="s">
        <v>126</v>
      </c>
      <c r="C39" s="126"/>
      <c r="D39" s="126"/>
      <c r="E39" s="177"/>
      <c r="F39" s="130">
        <f>F20+F22+F24+F26+F30+F36+F37</f>
        <v>35.388714456671302</v>
      </c>
      <c r="G39" s="126" t="s">
        <v>103</v>
      </c>
      <c r="H39" s="130">
        <f>H20+H22+H24+H26+H30+H36+H37</f>
        <v>1015.451218266852</v>
      </c>
      <c r="I39" s="126" t="s">
        <v>103</v>
      </c>
    </row>
    <row r="40" spans="1:9" ht="3" customHeight="1" x14ac:dyDescent="0.25">
      <c r="A40" s="126"/>
      <c r="B40" s="127"/>
      <c r="C40" s="126"/>
      <c r="D40" s="126"/>
      <c r="E40" s="177"/>
      <c r="F40" s="130"/>
      <c r="G40" s="126"/>
      <c r="H40" s="130"/>
      <c r="I40" s="126"/>
    </row>
    <row r="41" spans="1:9" ht="12.75" customHeight="1" x14ac:dyDescent="0.25">
      <c r="A41" s="126">
        <v>9</v>
      </c>
      <c r="B41" s="127" t="s">
        <v>127</v>
      </c>
      <c r="C41" s="126"/>
      <c r="D41" s="126"/>
      <c r="E41" s="177"/>
      <c r="F41" s="130"/>
      <c r="G41" s="126"/>
      <c r="H41" s="130"/>
      <c r="I41" s="126"/>
    </row>
    <row r="42" spans="1:9" ht="12.75" customHeight="1" x14ac:dyDescent="0.25">
      <c r="A42" s="122"/>
      <c r="B42" s="118" t="s">
        <v>128</v>
      </c>
      <c r="C42" s="122"/>
      <c r="D42" s="122"/>
      <c r="E42" s="175">
        <v>0.1</v>
      </c>
      <c r="F42" s="121">
        <f>F39*E42</f>
        <v>3.5388714456671302</v>
      </c>
      <c r="G42" s="122" t="s">
        <v>103</v>
      </c>
      <c r="H42" s="121">
        <f>H39*E42</f>
        <v>101.5451218266852</v>
      </c>
      <c r="I42" s="122" t="s">
        <v>103</v>
      </c>
    </row>
    <row r="43" spans="1:9" ht="12.75" customHeight="1" x14ac:dyDescent="0.25">
      <c r="A43" s="122"/>
      <c r="B43" s="118" t="s">
        <v>129</v>
      </c>
      <c r="C43" s="122"/>
      <c r="D43" s="122"/>
      <c r="E43" s="175">
        <v>0.15</v>
      </c>
      <c r="F43" s="121">
        <f>F39*E43</f>
        <v>5.3083071685006953</v>
      </c>
      <c r="G43" s="122" t="s">
        <v>103</v>
      </c>
      <c r="H43" s="121">
        <f>H39*E43</f>
        <v>152.31768274002781</v>
      </c>
      <c r="I43" s="122" t="s">
        <v>103</v>
      </c>
    </row>
    <row r="44" spans="1:9" ht="12.75" customHeight="1" x14ac:dyDescent="0.25">
      <c r="A44" s="126">
        <v>10</v>
      </c>
      <c r="B44" s="127" t="s">
        <v>130</v>
      </c>
      <c r="C44" s="126"/>
      <c r="D44" s="126"/>
      <c r="E44" s="177"/>
      <c r="F44" s="130"/>
      <c r="G44" s="126"/>
      <c r="H44" s="130"/>
      <c r="I44" s="126"/>
    </row>
    <row r="45" spans="1:9" ht="12.75" customHeight="1" x14ac:dyDescent="0.25">
      <c r="A45" s="122"/>
      <c r="B45" s="118" t="s">
        <v>128</v>
      </c>
      <c r="C45" s="122"/>
      <c r="D45" s="122"/>
      <c r="E45" s="175"/>
      <c r="F45" s="130">
        <f>F39+F42</f>
        <v>38.927585902338436</v>
      </c>
      <c r="G45" s="126" t="s">
        <v>103</v>
      </c>
      <c r="H45" s="130">
        <f>H39+H42</f>
        <v>1116.9963400935371</v>
      </c>
      <c r="I45" s="126" t="s">
        <v>103</v>
      </c>
    </row>
    <row r="46" spans="1:9" ht="12.75" customHeight="1" x14ac:dyDescent="0.25">
      <c r="A46" s="122"/>
      <c r="B46" s="118" t="s">
        <v>129</v>
      </c>
      <c r="C46" s="122"/>
      <c r="D46" s="122"/>
      <c r="E46" s="175"/>
      <c r="F46" s="130">
        <f>F39+F43</f>
        <v>40.697021625171999</v>
      </c>
      <c r="G46" s="126" t="s">
        <v>103</v>
      </c>
      <c r="H46" s="130">
        <f>H39+H43</f>
        <v>1167.7689010068798</v>
      </c>
      <c r="I46" s="126" t="s">
        <v>103</v>
      </c>
    </row>
    <row r="47" spans="1:9" ht="9.75" customHeight="1" x14ac:dyDescent="0.25">
      <c r="A47" s="113"/>
      <c r="B47" s="113"/>
      <c r="C47" s="144"/>
      <c r="D47" s="144"/>
      <c r="E47" s="144"/>
      <c r="F47" s="117"/>
      <c r="G47" s="113"/>
      <c r="H47" s="117"/>
      <c r="I47" s="172"/>
    </row>
    <row r="48" spans="1:9" ht="9.75" customHeight="1" x14ac:dyDescent="0.25">
      <c r="A48" s="113"/>
      <c r="B48" s="113"/>
      <c r="C48" s="144"/>
      <c r="D48" s="144"/>
      <c r="E48" s="144"/>
      <c r="F48" s="117"/>
      <c r="G48" s="113"/>
      <c r="H48" s="117"/>
      <c r="I48" s="113"/>
    </row>
    <row r="49" spans="1:9" ht="12.75" customHeight="1" x14ac:dyDescent="0.25">
      <c r="A49" s="31"/>
      <c r="B49" s="31"/>
      <c r="C49" s="382" t="s">
        <v>56</v>
      </c>
      <c r="D49" s="382"/>
      <c r="E49" s="31"/>
      <c r="F49" s="31"/>
      <c r="G49" s="31"/>
      <c r="H49" s="67" t="s">
        <v>58</v>
      </c>
      <c r="I49" s="31"/>
    </row>
    <row r="50" spans="1:9" ht="12.75" customHeight="1" x14ac:dyDescent="0.25">
      <c r="A50" s="31"/>
      <c r="B50" s="31"/>
      <c r="C50" s="376" t="s">
        <v>57</v>
      </c>
      <c r="D50" s="376"/>
      <c r="E50" s="31"/>
      <c r="F50" s="42"/>
      <c r="G50" s="31"/>
      <c r="H50" s="31"/>
      <c r="I50" s="31"/>
    </row>
  </sheetData>
  <mergeCells count="10">
    <mergeCell ref="C24:D24"/>
    <mergeCell ref="C49:D49"/>
    <mergeCell ref="C50:D50"/>
    <mergeCell ref="A5:I5"/>
    <mergeCell ref="A6:I6"/>
    <mergeCell ref="A7:A9"/>
    <mergeCell ref="B7:E9"/>
    <mergeCell ref="F7:I7"/>
    <mergeCell ref="F8:G8"/>
    <mergeCell ref="H8:I8"/>
  </mergeCells>
  <pageMargins left="0.25" right="0.25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2"/>
  <sheetViews>
    <sheetView topLeftCell="A25" workbookViewId="0">
      <selection activeCell="F37" sqref="F37"/>
    </sheetView>
  </sheetViews>
  <sheetFormatPr defaultRowHeight="15" x14ac:dyDescent="0.25"/>
  <cols>
    <col min="1" max="1" width="24.710937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17" t="s">
        <v>201</v>
      </c>
      <c r="B1" s="317"/>
      <c r="C1" s="317"/>
      <c r="D1" s="317"/>
      <c r="E1" s="317"/>
      <c r="F1" s="317"/>
      <c r="G1" s="317"/>
    </row>
    <row r="2" spans="1:7" x14ac:dyDescent="0.25">
      <c r="A2" s="316" t="s">
        <v>396</v>
      </c>
      <c r="B2" s="316"/>
      <c r="C2" s="316"/>
      <c r="D2" s="316"/>
      <c r="E2" s="316"/>
      <c r="F2" s="316"/>
      <c r="G2" s="3"/>
    </row>
    <row r="3" spans="1:7" x14ac:dyDescent="0.25">
      <c r="A3" s="5">
        <f>'План. расчет времени'!F57</f>
        <v>2731.9919571045575</v>
      </c>
      <c r="B3" s="316" t="s">
        <v>136</v>
      </c>
      <c r="C3" s="316"/>
      <c r="D3" s="3"/>
      <c r="E3" s="3"/>
      <c r="F3" s="3"/>
      <c r="G3" s="3"/>
    </row>
    <row r="4" spans="1:7" x14ac:dyDescent="0.25">
      <c r="A4" s="316" t="s">
        <v>202</v>
      </c>
      <c r="B4" s="316"/>
      <c r="C4" s="316"/>
      <c r="D4" s="316"/>
      <c r="E4" s="316"/>
      <c r="F4" s="316"/>
      <c r="G4" s="3"/>
    </row>
    <row r="5" spans="1:7" x14ac:dyDescent="0.25">
      <c r="A5" s="5">
        <f>'План. расчет времени'!E57</f>
        <v>2637.2419571045575</v>
      </c>
      <c r="B5" s="316" t="s">
        <v>203</v>
      </c>
      <c r="C5" s="316"/>
      <c r="D5" s="5">
        <f>A5/A3*100</f>
        <v>96.531834592206536</v>
      </c>
      <c r="E5" s="3" t="s">
        <v>204</v>
      </c>
      <c r="F5" s="3"/>
      <c r="G5" s="3"/>
    </row>
    <row r="6" spans="1:7" x14ac:dyDescent="0.25">
      <c r="A6" s="316" t="s">
        <v>205</v>
      </c>
      <c r="B6" s="316"/>
      <c r="C6" s="316"/>
      <c r="D6" s="316"/>
      <c r="E6" s="316"/>
      <c r="F6" s="316"/>
      <c r="G6" s="3"/>
    </row>
    <row r="7" spans="1:7" x14ac:dyDescent="0.25">
      <c r="A7" s="5">
        <f>'План. расчет времени'!D57</f>
        <v>94.75</v>
      </c>
      <c r="B7" s="316" t="s">
        <v>203</v>
      </c>
      <c r="C7" s="316"/>
      <c r="D7" s="5">
        <f>A7/A3*100</f>
        <v>3.4681654077934674</v>
      </c>
      <c r="E7" s="3" t="s">
        <v>204</v>
      </c>
      <c r="F7" s="3"/>
      <c r="G7" s="3"/>
    </row>
    <row r="8" spans="1:7" x14ac:dyDescent="0.25">
      <c r="A8" s="94"/>
      <c r="B8" s="5"/>
      <c r="C8" s="3"/>
      <c r="D8" s="3"/>
      <c r="E8" s="3"/>
      <c r="F8" s="3"/>
      <c r="G8" s="3"/>
    </row>
    <row r="9" spans="1:7" x14ac:dyDescent="0.25">
      <c r="A9" s="316" t="s">
        <v>137</v>
      </c>
      <c r="B9" s="316"/>
      <c r="C9" s="316"/>
      <c r="D9" s="316"/>
      <c r="E9" s="3">
        <v>40</v>
      </c>
      <c r="F9" s="3" t="s">
        <v>136</v>
      </c>
      <c r="G9" s="93"/>
    </row>
    <row r="10" spans="1:7" x14ac:dyDescent="0.25">
      <c r="A10" s="3"/>
      <c r="B10" s="3"/>
      <c r="C10" s="3"/>
      <c r="D10" s="3"/>
      <c r="E10" s="3"/>
      <c r="F10" s="3"/>
      <c r="G10" s="93"/>
    </row>
    <row r="11" spans="1:7" x14ac:dyDescent="0.25">
      <c r="A11" s="316" t="s">
        <v>206</v>
      </c>
      <c r="B11" s="316"/>
      <c r="C11" s="316"/>
      <c r="D11" s="316"/>
      <c r="E11" s="316"/>
      <c r="F11" s="316"/>
      <c r="G11" s="93"/>
    </row>
    <row r="12" spans="1:7" x14ac:dyDescent="0.25">
      <c r="A12" s="316" t="s">
        <v>139</v>
      </c>
      <c r="B12" s="316"/>
      <c r="C12" s="316"/>
      <c r="D12" s="316"/>
      <c r="E12" s="316"/>
      <c r="F12" s="316"/>
      <c r="G12" s="316"/>
    </row>
    <row r="13" spans="1:7" x14ac:dyDescent="0.25">
      <c r="A13" s="316" t="s">
        <v>165</v>
      </c>
      <c r="B13" s="316"/>
      <c r="C13" s="316"/>
      <c r="D13" s="316"/>
      <c r="E13" s="316"/>
      <c r="F13" s="316"/>
      <c r="G13" s="3"/>
    </row>
    <row r="14" spans="1:7" x14ac:dyDescent="0.25">
      <c r="A14" s="93"/>
      <c r="B14" s="93"/>
      <c r="C14" s="93"/>
      <c r="D14" s="3">
        <v>100</v>
      </c>
      <c r="E14" s="3" t="s">
        <v>136</v>
      </c>
      <c r="F14" s="3"/>
      <c r="G14" s="3"/>
    </row>
    <row r="15" spans="1:7" x14ac:dyDescent="0.25">
      <c r="A15" s="316" t="s">
        <v>207</v>
      </c>
      <c r="B15" s="316"/>
      <c r="C15" s="316"/>
      <c r="D15" s="316"/>
      <c r="E15" s="316"/>
      <c r="F15" s="316"/>
      <c r="G15" s="3"/>
    </row>
    <row r="16" spans="1:7" x14ac:dyDescent="0.25">
      <c r="A16" s="5">
        <f>E9+D14</f>
        <v>140</v>
      </c>
      <c r="B16" s="3" t="s">
        <v>208</v>
      </c>
      <c r="C16" s="7">
        <f>A16/100*D5</f>
        <v>135.14456842908913</v>
      </c>
      <c r="D16" s="201"/>
      <c r="E16" s="201"/>
      <c r="F16" s="201"/>
      <c r="G16" s="94"/>
    </row>
    <row r="17" spans="1:7" x14ac:dyDescent="0.25">
      <c r="A17" s="316" t="s">
        <v>209</v>
      </c>
      <c r="B17" s="316"/>
      <c r="C17" s="316"/>
      <c r="D17" s="316"/>
      <c r="E17" s="316"/>
      <c r="F17" s="316"/>
      <c r="G17" s="3"/>
    </row>
    <row r="18" spans="1:7" x14ac:dyDescent="0.25">
      <c r="A18" s="5">
        <f>E9+D14</f>
        <v>140</v>
      </c>
      <c r="B18" s="201" t="s">
        <v>210</v>
      </c>
      <c r="C18" s="7">
        <f>A18/100*D7</f>
        <v>4.855431570910854</v>
      </c>
      <c r="D18" s="5" t="s">
        <v>211</v>
      </c>
      <c r="E18" s="3"/>
      <c r="F18" s="3"/>
      <c r="G18" s="3"/>
    </row>
    <row r="19" spans="1:7" x14ac:dyDescent="0.25">
      <c r="A19" s="93"/>
      <c r="B19" s="93"/>
      <c r="C19" s="93"/>
      <c r="D19" s="3"/>
      <c r="E19" s="3"/>
      <c r="F19" s="3"/>
      <c r="G19" s="3"/>
    </row>
    <row r="20" spans="1:7" x14ac:dyDescent="0.25">
      <c r="A20" s="319" t="s">
        <v>212</v>
      </c>
      <c r="B20" s="319"/>
      <c r="C20" s="319"/>
      <c r="D20" s="319"/>
      <c r="E20" s="5">
        <f>A5-C16</f>
        <v>2502.0973886754682</v>
      </c>
      <c r="F20" s="3" t="s">
        <v>136</v>
      </c>
      <c r="G20" s="93"/>
    </row>
    <row r="21" spans="1:7" x14ac:dyDescent="0.25">
      <c r="A21" s="93"/>
      <c r="B21" s="93"/>
      <c r="C21" s="93"/>
      <c r="D21" s="93"/>
      <c r="E21" s="93"/>
      <c r="F21" s="93"/>
      <c r="G21" s="93"/>
    </row>
    <row r="22" spans="1:7" x14ac:dyDescent="0.25">
      <c r="A22" s="319" t="s">
        <v>213</v>
      </c>
      <c r="B22" s="319"/>
      <c r="C22" s="319"/>
      <c r="D22" s="319"/>
      <c r="E22" s="5">
        <f>A7-C18</f>
        <v>89.894568429089148</v>
      </c>
      <c r="F22" s="3" t="s">
        <v>136</v>
      </c>
      <c r="G22" s="93"/>
    </row>
    <row r="23" spans="1:7" x14ac:dyDescent="0.25">
      <c r="A23" s="93"/>
      <c r="B23" s="93"/>
      <c r="C23" s="93"/>
      <c r="D23" s="93"/>
      <c r="E23" s="93"/>
      <c r="F23" s="93"/>
      <c r="G23" s="93"/>
    </row>
    <row r="24" spans="1:7" x14ac:dyDescent="0.25">
      <c r="A24" s="316" t="s">
        <v>142</v>
      </c>
      <c r="B24" s="316"/>
      <c r="C24" s="316"/>
      <c r="D24" s="316"/>
      <c r="E24" s="316"/>
      <c r="F24" s="3">
        <v>124600</v>
      </c>
      <c r="G24" s="3" t="s">
        <v>103</v>
      </c>
    </row>
    <row r="25" spans="1:7" x14ac:dyDescent="0.25">
      <c r="A25" s="93"/>
      <c r="B25" s="93"/>
      <c r="C25" s="3"/>
      <c r="D25" s="3"/>
      <c r="E25" s="3"/>
      <c r="F25" s="94"/>
      <c r="G25" s="94"/>
    </row>
    <row r="26" spans="1:7" ht="15.75" thickBot="1" x14ac:dyDescent="0.3">
      <c r="A26" s="375" t="s">
        <v>143</v>
      </c>
      <c r="B26" s="373" t="s">
        <v>144</v>
      </c>
      <c r="C26" s="373"/>
      <c r="D26" s="373"/>
      <c r="E26" s="3"/>
      <c r="F26" s="94"/>
      <c r="G26" s="94"/>
    </row>
    <row r="27" spans="1:7" x14ac:dyDescent="0.25">
      <c r="A27" s="375"/>
      <c r="B27" s="374" t="s">
        <v>145</v>
      </c>
      <c r="C27" s="374"/>
      <c r="D27" s="374"/>
      <c r="E27" s="3"/>
      <c r="F27" s="94"/>
      <c r="G27" s="94"/>
    </row>
    <row r="28" spans="1:7" x14ac:dyDescent="0.25">
      <c r="A28" s="99"/>
      <c r="B28" s="100"/>
      <c r="C28" s="100"/>
      <c r="D28" s="100"/>
      <c r="E28" s="3"/>
      <c r="F28" s="94"/>
      <c r="G28" s="94"/>
    </row>
    <row r="29" spans="1:7" ht="15.75" thickBot="1" x14ac:dyDescent="0.3">
      <c r="A29" s="372" t="s">
        <v>146</v>
      </c>
      <c r="B29" s="372"/>
      <c r="C29" s="373" t="s">
        <v>147</v>
      </c>
      <c r="D29" s="373"/>
      <c r="E29" s="373"/>
      <c r="F29" s="94"/>
      <c r="G29" s="94"/>
    </row>
    <row r="30" spans="1:7" x14ac:dyDescent="0.25">
      <c r="A30" s="372"/>
      <c r="B30" s="372"/>
      <c r="C30" s="374" t="s">
        <v>145</v>
      </c>
      <c r="D30" s="374"/>
      <c r="E30" s="374"/>
      <c r="F30" s="94"/>
      <c r="G30" s="94"/>
    </row>
    <row r="31" spans="1:7" x14ac:dyDescent="0.25">
      <c r="A31" s="9"/>
      <c r="B31" s="9"/>
      <c r="C31" s="101"/>
      <c r="D31" s="101"/>
      <c r="E31" s="101"/>
      <c r="F31" s="94"/>
      <c r="G31" s="94"/>
    </row>
    <row r="32" spans="1:7" x14ac:dyDescent="0.25">
      <c r="A32" s="9"/>
      <c r="B32" s="9"/>
      <c r="C32" s="101"/>
      <c r="D32" s="101"/>
      <c r="E32" s="320" t="s">
        <v>13</v>
      </c>
      <c r="F32" s="320"/>
      <c r="G32" s="94"/>
    </row>
    <row r="33" spans="1:7" x14ac:dyDescent="0.25">
      <c r="A33" s="321" t="s">
        <v>214</v>
      </c>
      <c r="B33" s="321"/>
      <c r="C33" s="321"/>
      <c r="D33" s="321"/>
      <c r="E33" s="321"/>
      <c r="F33" s="321"/>
      <c r="G33" s="94"/>
    </row>
    <row r="34" spans="1:7" x14ac:dyDescent="0.25">
      <c r="A34" s="377"/>
      <c r="B34" s="379" t="s">
        <v>16</v>
      </c>
      <c r="C34" s="380"/>
      <c r="D34" s="380"/>
      <c r="E34" s="381" t="s">
        <v>150</v>
      </c>
      <c r="F34" s="381"/>
      <c r="G34" s="102"/>
    </row>
    <row r="35" spans="1:7" ht="45" x14ac:dyDescent="0.25">
      <c r="A35" s="378"/>
      <c r="B35" s="103" t="s">
        <v>151</v>
      </c>
      <c r="C35" s="103" t="s">
        <v>152</v>
      </c>
      <c r="D35" s="104" t="s">
        <v>153</v>
      </c>
      <c r="E35" s="103" t="s">
        <v>154</v>
      </c>
      <c r="F35" s="103" t="s">
        <v>155</v>
      </c>
      <c r="G35" s="105"/>
    </row>
    <row r="36" spans="1:7" x14ac:dyDescent="0.25">
      <c r="A36" s="106" t="s">
        <v>395</v>
      </c>
      <c r="B36" s="202">
        <v>0</v>
      </c>
      <c r="C36" s="203">
        <f>F24/100*D7</f>
        <v>4321.3340981106603</v>
      </c>
      <c r="D36" s="204">
        <f>E22</f>
        <v>89.894568429089148</v>
      </c>
      <c r="E36" s="203">
        <f>B36/D36</f>
        <v>0</v>
      </c>
      <c r="F36" s="202">
        <f>C36/D36*5.2006</f>
        <v>249.99875413342599</v>
      </c>
      <c r="G36" s="12"/>
    </row>
    <row r="37" spans="1:7" x14ac:dyDescent="0.25">
      <c r="A37" s="205" t="s">
        <v>394</v>
      </c>
      <c r="B37" s="202">
        <v>0</v>
      </c>
      <c r="C37" s="206">
        <f>F24/100*D5</f>
        <v>120278.66590188934</v>
      </c>
      <c r="D37" s="206">
        <f>E20</f>
        <v>2502.0973886754682</v>
      </c>
      <c r="E37" s="203">
        <f>B37/D37</f>
        <v>0</v>
      </c>
      <c r="F37" s="202">
        <f>C37/D37*5.2006</f>
        <v>249.99875413342605</v>
      </c>
      <c r="G37" s="94"/>
    </row>
    <row r="38" spans="1:7" x14ac:dyDescent="0.25">
      <c r="A38" s="32" t="s">
        <v>215</v>
      </c>
      <c r="B38" s="207" t="s">
        <v>30</v>
      </c>
      <c r="C38" s="208">
        <f>SUM(C36:C37)</f>
        <v>124600</v>
      </c>
      <c r="D38" s="208">
        <f>SUM(D36:D37)</f>
        <v>2591.9919571045575</v>
      </c>
      <c r="E38" s="207" t="s">
        <v>30</v>
      </c>
      <c r="F38" s="208">
        <f>F36+F37</f>
        <v>499.99750826685204</v>
      </c>
      <c r="G38" s="94"/>
    </row>
    <row r="39" spans="1:7" x14ac:dyDescent="0.25">
      <c r="A39" s="94"/>
      <c r="B39" s="94"/>
      <c r="C39" s="94"/>
      <c r="D39" s="94"/>
      <c r="E39" s="94"/>
      <c r="F39" s="94"/>
      <c r="G39" s="94"/>
    </row>
    <row r="40" spans="1:7" x14ac:dyDescent="0.25">
      <c r="A40" s="94"/>
      <c r="B40" s="94"/>
      <c r="C40" s="94"/>
      <c r="D40" s="94"/>
      <c r="E40" s="94"/>
      <c r="F40" s="94"/>
      <c r="G40" s="94"/>
    </row>
    <row r="41" spans="1:7" ht="15.75" x14ac:dyDescent="0.25">
      <c r="A41" s="382" t="s">
        <v>56</v>
      </c>
      <c r="B41" s="382"/>
      <c r="C41" s="382"/>
      <c r="D41" s="31"/>
      <c r="E41" s="340" t="s">
        <v>58</v>
      </c>
      <c r="F41" s="340"/>
      <c r="G41" s="340"/>
    </row>
    <row r="42" spans="1:7" ht="15.75" x14ac:dyDescent="0.25">
      <c r="A42" s="376" t="s">
        <v>57</v>
      </c>
      <c r="B42" s="376"/>
      <c r="C42" s="376"/>
      <c r="D42" s="31"/>
      <c r="E42" s="31"/>
      <c r="F42" s="91"/>
      <c r="G42" s="31"/>
    </row>
  </sheetData>
  <mergeCells count="30">
    <mergeCell ref="A41:C41"/>
    <mergeCell ref="E41:G41"/>
    <mergeCell ref="A42:C42"/>
    <mergeCell ref="A29:B30"/>
    <mergeCell ref="C29:E29"/>
    <mergeCell ref="C30:E30"/>
    <mergeCell ref="E32:F32"/>
    <mergeCell ref="A33:F33"/>
    <mergeCell ref="A34:A35"/>
    <mergeCell ref="B34:D34"/>
    <mergeCell ref="E34:F34"/>
    <mergeCell ref="A17:F17"/>
    <mergeCell ref="A20:D20"/>
    <mergeCell ref="A22:D22"/>
    <mergeCell ref="A24:E24"/>
    <mergeCell ref="A26:A27"/>
    <mergeCell ref="B26:D26"/>
    <mergeCell ref="B27:D27"/>
    <mergeCell ref="A15:F15"/>
    <mergeCell ref="A1:G1"/>
    <mergeCell ref="A2:F2"/>
    <mergeCell ref="B3:C3"/>
    <mergeCell ref="A4:F4"/>
    <mergeCell ref="B5:C5"/>
    <mergeCell ref="A6:F6"/>
    <mergeCell ref="B7:C7"/>
    <mergeCell ref="A9:D9"/>
    <mergeCell ref="A11:F11"/>
    <mergeCell ref="A12:G12"/>
    <mergeCell ref="A13:F13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5"/>
  <sheetViews>
    <sheetView topLeftCell="A7" workbookViewId="0">
      <selection activeCell="F29" sqref="F29"/>
    </sheetView>
  </sheetViews>
  <sheetFormatPr defaultRowHeight="15" x14ac:dyDescent="0.25"/>
  <cols>
    <col min="1" max="1" width="4.85546875" customWidth="1"/>
    <col min="2" max="2" width="32.5703125" customWidth="1"/>
    <col min="3" max="3" width="9.85546875" customWidth="1"/>
    <col min="4" max="4" width="13.7109375" customWidth="1"/>
    <col min="5" max="5" width="12" customWidth="1"/>
    <col min="6" max="6" width="14.7109375" customWidth="1"/>
    <col min="7" max="7" width="9.85546875" customWidth="1"/>
  </cols>
  <sheetData>
    <row r="1" spans="1:7" ht="14.25" customHeight="1" x14ac:dyDescent="0.25">
      <c r="A1" s="113"/>
      <c r="B1" s="113"/>
      <c r="C1" s="113"/>
      <c r="D1" s="113"/>
      <c r="E1" s="209"/>
      <c r="F1" s="199" t="s">
        <v>167</v>
      </c>
      <c r="G1" s="113"/>
    </row>
    <row r="2" spans="1:7" ht="14.25" customHeight="1" x14ac:dyDescent="0.25">
      <c r="A2" s="113"/>
      <c r="B2" s="113"/>
      <c r="C2" s="113"/>
      <c r="D2" s="113"/>
      <c r="E2" s="113"/>
      <c r="F2" s="113"/>
      <c r="G2" s="115" t="s">
        <v>61</v>
      </c>
    </row>
    <row r="3" spans="1:7" ht="14.25" customHeight="1" x14ac:dyDescent="0.25">
      <c r="A3" s="113"/>
      <c r="B3" s="113"/>
      <c r="C3" s="113"/>
      <c r="D3" s="113"/>
      <c r="E3" s="113"/>
      <c r="F3" s="113"/>
      <c r="G3" s="115" t="s">
        <v>414</v>
      </c>
    </row>
    <row r="4" spans="1:7" ht="14.25" customHeight="1" x14ac:dyDescent="0.25">
      <c r="A4" s="113"/>
      <c r="B4" s="113"/>
      <c r="C4" s="113"/>
      <c r="D4" s="113"/>
      <c r="E4" s="113"/>
      <c r="F4" s="113"/>
      <c r="G4" s="115" t="s">
        <v>421</v>
      </c>
    </row>
    <row r="5" spans="1:7" ht="14.25" customHeight="1" x14ac:dyDescent="0.25">
      <c r="A5" s="113"/>
      <c r="B5" s="113"/>
      <c r="C5" s="113"/>
      <c r="D5" s="113"/>
      <c r="E5" s="113"/>
      <c r="F5" s="117"/>
      <c r="G5" s="113"/>
    </row>
    <row r="6" spans="1:7" ht="14.25" customHeight="1" x14ac:dyDescent="0.25">
      <c r="A6" s="394" t="s">
        <v>98</v>
      </c>
      <c r="B6" s="394"/>
      <c r="C6" s="394"/>
      <c r="D6" s="394"/>
      <c r="E6" s="394"/>
      <c r="F6" s="394"/>
      <c r="G6" s="394"/>
    </row>
    <row r="7" spans="1:7" ht="14.25" customHeight="1" x14ac:dyDescent="0.25">
      <c r="A7" s="394" t="s">
        <v>218</v>
      </c>
      <c r="B7" s="394"/>
      <c r="C7" s="394"/>
      <c r="D7" s="394"/>
      <c r="E7" s="394"/>
      <c r="F7" s="394"/>
      <c r="G7" s="394"/>
    </row>
    <row r="8" spans="1:7" ht="14.25" customHeight="1" x14ac:dyDescent="0.25">
      <c r="A8" s="350" t="s">
        <v>14</v>
      </c>
      <c r="B8" s="388" t="s">
        <v>100</v>
      </c>
      <c r="C8" s="389"/>
      <c r="D8" s="389"/>
      <c r="E8" s="390"/>
      <c r="F8" s="354" t="s">
        <v>101</v>
      </c>
      <c r="G8" s="354"/>
    </row>
    <row r="9" spans="1:7" ht="14.25" customHeight="1" x14ac:dyDescent="0.25">
      <c r="A9" s="351"/>
      <c r="B9" s="391"/>
      <c r="C9" s="392"/>
      <c r="D9" s="392"/>
      <c r="E9" s="393"/>
      <c r="F9" s="70" t="s">
        <v>102</v>
      </c>
      <c r="G9" s="97" t="s">
        <v>64</v>
      </c>
    </row>
    <row r="10" spans="1:7" ht="14.25" customHeight="1" x14ac:dyDescent="0.25">
      <c r="A10" s="118"/>
      <c r="B10" s="383" t="s">
        <v>131</v>
      </c>
      <c r="C10" s="384"/>
      <c r="D10" s="385"/>
      <c r="E10" s="118"/>
      <c r="F10" s="121">
        <v>62.85</v>
      </c>
      <c r="G10" s="122" t="s">
        <v>103</v>
      </c>
    </row>
    <row r="11" spans="1:7" ht="6" customHeight="1" x14ac:dyDescent="0.25">
      <c r="A11" s="118"/>
      <c r="B11" s="118"/>
      <c r="C11" s="118"/>
      <c r="D11" s="118"/>
      <c r="E11" s="118"/>
      <c r="F11" s="121"/>
      <c r="G11" s="122"/>
    </row>
    <row r="12" spans="1:7" ht="14.25" customHeight="1" x14ac:dyDescent="0.25">
      <c r="A12" s="118"/>
      <c r="B12" s="118" t="s">
        <v>104</v>
      </c>
      <c r="C12" s="118"/>
      <c r="D12" s="118"/>
      <c r="E12" s="147">
        <v>0.25</v>
      </c>
      <c r="F12" s="121">
        <f>F10*E12</f>
        <v>15.7125</v>
      </c>
      <c r="G12" s="122" t="s">
        <v>103</v>
      </c>
    </row>
    <row r="13" spans="1:7" ht="6" customHeight="1" x14ac:dyDescent="0.25">
      <c r="A13" s="118"/>
      <c r="B13" s="118"/>
      <c r="C13" s="118"/>
      <c r="D13" s="118"/>
      <c r="E13" s="118"/>
      <c r="F13" s="121"/>
      <c r="G13" s="122"/>
    </row>
    <row r="14" spans="1:7" ht="14.25" customHeight="1" x14ac:dyDescent="0.25">
      <c r="A14" s="118"/>
      <c r="B14" s="118" t="s">
        <v>105</v>
      </c>
      <c r="C14" s="118"/>
      <c r="D14" s="118"/>
      <c r="E14" s="147">
        <v>0.1</v>
      </c>
      <c r="F14" s="121">
        <f>F10*E14</f>
        <v>6.2850000000000001</v>
      </c>
      <c r="G14" s="122" t="str">
        <f>G12</f>
        <v>руб.</v>
      </c>
    </row>
    <row r="15" spans="1:7" ht="6" customHeight="1" x14ac:dyDescent="0.25">
      <c r="A15" s="118"/>
      <c r="B15" s="118"/>
      <c r="C15" s="118"/>
      <c r="D15" s="118"/>
      <c r="E15" s="118"/>
      <c r="F15" s="121"/>
      <c r="G15" s="122"/>
    </row>
    <row r="16" spans="1:7" ht="14.25" customHeight="1" x14ac:dyDescent="0.25">
      <c r="A16" s="118"/>
      <c r="B16" s="118" t="s">
        <v>216</v>
      </c>
      <c r="C16" s="118"/>
      <c r="D16" s="118"/>
      <c r="E16" s="147">
        <v>0.04</v>
      </c>
      <c r="F16" s="121">
        <f>F10*E16</f>
        <v>2.5140000000000002</v>
      </c>
      <c r="G16" s="122" t="s">
        <v>103</v>
      </c>
    </row>
    <row r="17" spans="1:7" ht="6" customHeight="1" x14ac:dyDescent="0.25">
      <c r="A17" s="118"/>
      <c r="B17" s="118"/>
      <c r="C17" s="118"/>
      <c r="D17" s="118"/>
      <c r="E17" s="118"/>
      <c r="F17" s="121"/>
      <c r="G17" s="122"/>
    </row>
    <row r="18" spans="1:7" ht="14.25" customHeight="1" x14ac:dyDescent="0.25">
      <c r="A18" s="118"/>
      <c r="B18" s="118" t="s">
        <v>106</v>
      </c>
      <c r="C18" s="118"/>
      <c r="D18" s="118"/>
      <c r="E18" s="147">
        <v>0.4</v>
      </c>
      <c r="F18" s="121">
        <f>F10*E18</f>
        <v>25.14</v>
      </c>
      <c r="G18" s="122" t="s">
        <v>103</v>
      </c>
    </row>
    <row r="19" spans="1:7" ht="6" customHeight="1" x14ac:dyDescent="0.25">
      <c r="A19" s="118"/>
      <c r="B19" s="118"/>
      <c r="C19" s="118"/>
      <c r="D19" s="118"/>
      <c r="E19" s="147"/>
      <c r="F19" s="121"/>
      <c r="G19" s="122"/>
    </row>
    <row r="20" spans="1:7" ht="14.25" customHeight="1" x14ac:dyDescent="0.25">
      <c r="A20" s="118"/>
      <c r="B20" s="118" t="s">
        <v>107</v>
      </c>
      <c r="C20" s="118"/>
      <c r="D20" s="118"/>
      <c r="E20" s="118"/>
      <c r="F20" s="121">
        <v>60</v>
      </c>
      <c r="G20" s="122" t="s">
        <v>108</v>
      </c>
    </row>
    <row r="21" spans="1:7" ht="14.25" customHeight="1" x14ac:dyDescent="0.25">
      <c r="A21" s="118"/>
      <c r="B21" s="118"/>
      <c r="C21" s="118"/>
      <c r="D21" s="118"/>
      <c r="E21" s="118"/>
      <c r="F21" s="121"/>
      <c r="G21" s="118"/>
    </row>
    <row r="22" spans="1:7" ht="14.25" customHeight="1" x14ac:dyDescent="0.25">
      <c r="A22" s="126">
        <v>1</v>
      </c>
      <c r="B22" s="127" t="s">
        <v>109</v>
      </c>
      <c r="C22" s="127"/>
      <c r="D22" s="127"/>
      <c r="E22" s="127"/>
      <c r="F22" s="130">
        <f>F10+F12+F14+F16+F18</f>
        <v>112.50149999999999</v>
      </c>
      <c r="G22" s="126" t="s">
        <v>103</v>
      </c>
    </row>
    <row r="23" spans="1:7" ht="14.25" customHeight="1" x14ac:dyDescent="0.25">
      <c r="A23" s="126"/>
      <c r="B23" s="127"/>
      <c r="C23" s="127"/>
      <c r="D23" s="118"/>
      <c r="E23" s="118"/>
      <c r="F23" s="121"/>
      <c r="G23" s="122"/>
    </row>
    <row r="24" spans="1:7" ht="14.25" customHeight="1" x14ac:dyDescent="0.25">
      <c r="A24" s="126">
        <v>2</v>
      </c>
      <c r="B24" s="127" t="s">
        <v>110</v>
      </c>
      <c r="C24" s="127"/>
      <c r="D24" s="127"/>
      <c r="E24" s="148">
        <v>0.30199999999999999</v>
      </c>
      <c r="F24" s="130">
        <f>E24*F22</f>
        <v>33.975452999999995</v>
      </c>
      <c r="G24" s="126" t="s">
        <v>103</v>
      </c>
    </row>
    <row r="25" spans="1:7" ht="14.25" customHeight="1" x14ac:dyDescent="0.25">
      <c r="A25" s="126"/>
      <c r="B25" s="127"/>
      <c r="C25" s="127"/>
      <c r="D25" s="118"/>
      <c r="E25" s="147"/>
      <c r="F25" s="121"/>
      <c r="G25" s="122"/>
    </row>
    <row r="26" spans="1:7" ht="14.25" customHeight="1" x14ac:dyDescent="0.25">
      <c r="A26" s="126">
        <v>3</v>
      </c>
      <c r="B26" s="127" t="s">
        <v>111</v>
      </c>
      <c r="C26" s="420" t="s">
        <v>219</v>
      </c>
      <c r="D26" s="421"/>
      <c r="E26" s="148"/>
      <c r="F26" s="130">
        <v>0</v>
      </c>
      <c r="G26" s="126" t="s">
        <v>103</v>
      </c>
    </row>
    <row r="27" spans="1:7" ht="14.25" customHeight="1" x14ac:dyDescent="0.25">
      <c r="A27" s="126"/>
      <c r="B27" s="127"/>
      <c r="C27" s="127"/>
      <c r="D27" s="118"/>
      <c r="E27" s="147"/>
      <c r="F27" s="121"/>
      <c r="G27" s="122"/>
    </row>
    <row r="28" spans="1:7" ht="14.25" customHeight="1" x14ac:dyDescent="0.25">
      <c r="A28" s="126">
        <v>4</v>
      </c>
      <c r="B28" s="127" t="s">
        <v>113</v>
      </c>
      <c r="C28" s="127"/>
      <c r="D28" s="127"/>
      <c r="E28" s="148"/>
      <c r="F28" s="130">
        <v>73</v>
      </c>
      <c r="G28" s="126" t="s">
        <v>103</v>
      </c>
    </row>
    <row r="29" spans="1:7" ht="6" customHeight="1" x14ac:dyDescent="0.25">
      <c r="A29" s="126"/>
      <c r="B29" s="127"/>
      <c r="C29" s="127"/>
      <c r="D29" s="118"/>
      <c r="E29" s="147"/>
      <c r="F29" s="121"/>
      <c r="G29" s="122"/>
    </row>
    <row r="30" spans="1:7" ht="14.25" customHeight="1" x14ac:dyDescent="0.25">
      <c r="A30" s="126">
        <v>5</v>
      </c>
      <c r="B30" s="127" t="s">
        <v>114</v>
      </c>
      <c r="C30" s="383" t="s">
        <v>220</v>
      </c>
      <c r="D30" s="385"/>
      <c r="E30" s="210"/>
      <c r="F30" s="121">
        <f>0.291*40</f>
        <v>11.639999999999999</v>
      </c>
      <c r="G30" s="122" t="s">
        <v>116</v>
      </c>
    </row>
    <row r="31" spans="1:7" ht="14.25" customHeight="1" x14ac:dyDescent="0.25">
      <c r="A31" s="126"/>
      <c r="B31" s="127"/>
      <c r="C31" s="383" t="s">
        <v>221</v>
      </c>
      <c r="D31" s="385"/>
      <c r="E31" s="132"/>
      <c r="F31" s="117">
        <f>1.7*2</f>
        <v>3.4</v>
      </c>
      <c r="G31" s="122" t="s">
        <v>116</v>
      </c>
    </row>
    <row r="32" spans="1:7" ht="14.25" customHeight="1" x14ac:dyDescent="0.25">
      <c r="A32" s="126"/>
      <c r="B32" s="127"/>
      <c r="C32" s="387">
        <f>F30+F31</f>
        <v>15.04</v>
      </c>
      <c r="D32" s="422"/>
      <c r="E32" s="134">
        <v>29.95</v>
      </c>
      <c r="F32" s="135">
        <f>C32*E32</f>
        <v>450.44799999999998</v>
      </c>
      <c r="G32" s="126" t="s">
        <v>103</v>
      </c>
    </row>
    <row r="33" spans="1:7" ht="14.25" customHeight="1" x14ac:dyDescent="0.25">
      <c r="A33" s="126"/>
      <c r="B33" s="127"/>
      <c r="C33" s="127"/>
      <c r="D33" s="118"/>
      <c r="E33" s="147"/>
      <c r="F33" s="121"/>
      <c r="G33" s="122"/>
    </row>
    <row r="34" spans="1:7" ht="14.25" customHeight="1" x14ac:dyDescent="0.25">
      <c r="A34" s="126">
        <v>6</v>
      </c>
      <c r="B34" s="127" t="s">
        <v>117</v>
      </c>
      <c r="C34" s="127"/>
      <c r="D34" s="118"/>
      <c r="E34" s="118"/>
      <c r="F34" s="121"/>
      <c r="G34" s="122"/>
    </row>
    <row r="35" spans="1:7" ht="14.25" customHeight="1" x14ac:dyDescent="0.25">
      <c r="A35" s="126"/>
      <c r="B35" s="118" t="s">
        <v>118</v>
      </c>
      <c r="C35" s="211">
        <v>2.1000000000000001E-2</v>
      </c>
      <c r="D35" s="138" t="s">
        <v>119</v>
      </c>
      <c r="E35" s="185">
        <v>142.52000000000001</v>
      </c>
      <c r="F35" s="121">
        <f>C35*$C$32*E35</f>
        <v>45.013516800000005</v>
      </c>
      <c r="G35" s="122" t="s">
        <v>103</v>
      </c>
    </row>
    <row r="36" spans="1:7" ht="14.25" customHeight="1" x14ac:dyDescent="0.25">
      <c r="A36" s="126"/>
      <c r="B36" s="118" t="s">
        <v>120</v>
      </c>
      <c r="C36" s="211">
        <v>3.0000000000000001E-3</v>
      </c>
      <c r="D36" s="140" t="s">
        <v>121</v>
      </c>
      <c r="E36" s="185">
        <v>88.65</v>
      </c>
      <c r="F36" s="121">
        <f>C36*$C$32*E36</f>
        <v>3.9998880000000003</v>
      </c>
      <c r="G36" s="122" t="s">
        <v>103</v>
      </c>
    </row>
    <row r="37" spans="1:7" ht="14.25" customHeight="1" x14ac:dyDescent="0.25">
      <c r="A37" s="126"/>
      <c r="B37" s="118" t="s">
        <v>122</v>
      </c>
      <c r="C37" s="211">
        <v>1E-3</v>
      </c>
      <c r="D37" s="140" t="s">
        <v>121</v>
      </c>
      <c r="E37" s="212">
        <v>56.75</v>
      </c>
      <c r="F37" s="121">
        <f>C37*$C$32*E37</f>
        <v>0.85351999999999995</v>
      </c>
      <c r="G37" s="122" t="s">
        <v>103</v>
      </c>
    </row>
    <row r="38" spans="1:7" ht="14.25" customHeight="1" x14ac:dyDescent="0.25">
      <c r="A38" s="126"/>
      <c r="B38" s="118" t="s">
        <v>123</v>
      </c>
      <c r="C38" s="213">
        <v>3.0000000000000001E-3</v>
      </c>
      <c r="D38" s="142" t="s">
        <v>171</v>
      </c>
      <c r="E38" s="185">
        <v>100.17</v>
      </c>
      <c r="F38" s="121">
        <f>C38*$C$32*E38</f>
        <v>4.5196703999999999</v>
      </c>
      <c r="G38" s="122" t="s">
        <v>103</v>
      </c>
    </row>
    <row r="39" spans="1:7" ht="14.25" customHeight="1" x14ac:dyDescent="0.25">
      <c r="A39" s="126"/>
      <c r="B39" s="118" t="s">
        <v>124</v>
      </c>
      <c r="C39" s="127"/>
      <c r="D39" s="171"/>
      <c r="E39" s="126"/>
      <c r="F39" s="130">
        <f>SUM(F35:F38)</f>
        <v>54.386595200000009</v>
      </c>
      <c r="G39" s="126" t="s">
        <v>103</v>
      </c>
    </row>
    <row r="40" spans="1:7" ht="6" customHeight="1" x14ac:dyDescent="0.25">
      <c r="A40" s="126"/>
      <c r="B40" s="118"/>
      <c r="C40" s="118"/>
      <c r="D40" s="118"/>
      <c r="E40" s="147"/>
      <c r="F40" s="121"/>
      <c r="G40" s="122"/>
    </row>
    <row r="41" spans="1:7" ht="14.25" customHeight="1" x14ac:dyDescent="0.25">
      <c r="A41" s="126">
        <v>7</v>
      </c>
      <c r="B41" s="127" t="s">
        <v>125</v>
      </c>
      <c r="C41" s="127"/>
      <c r="D41" s="127"/>
      <c r="E41" s="148">
        <v>0.62</v>
      </c>
      <c r="F41" s="130">
        <f>F22*E41</f>
        <v>69.750929999999997</v>
      </c>
      <c r="G41" s="126" t="s">
        <v>103</v>
      </c>
    </row>
    <row r="42" spans="1:7" ht="14.25" customHeight="1" x14ac:dyDescent="0.25">
      <c r="A42" s="122"/>
      <c r="B42" s="118"/>
      <c r="C42" s="118"/>
      <c r="D42" s="118"/>
      <c r="E42" s="147"/>
      <c r="F42" s="121"/>
      <c r="G42" s="122"/>
    </row>
    <row r="43" spans="1:7" ht="14.25" customHeight="1" x14ac:dyDescent="0.25">
      <c r="A43" s="126">
        <v>8</v>
      </c>
      <c r="B43" s="127" t="s">
        <v>126</v>
      </c>
      <c r="C43" s="127"/>
      <c r="D43" s="127"/>
      <c r="E43" s="148"/>
      <c r="F43" s="130">
        <f>F22+F24+F26+F28+F32+F39+F41</f>
        <v>794.06247819999999</v>
      </c>
      <c r="G43" s="126" t="s">
        <v>103</v>
      </c>
    </row>
    <row r="44" spans="1:7" ht="14.25" customHeight="1" x14ac:dyDescent="0.25">
      <c r="A44" s="126"/>
      <c r="B44" s="127"/>
      <c r="C44" s="127"/>
      <c r="D44" s="127"/>
      <c r="E44" s="148"/>
      <c r="F44" s="130"/>
      <c r="G44" s="126"/>
    </row>
    <row r="45" spans="1:7" ht="14.25" customHeight="1" x14ac:dyDescent="0.25">
      <c r="A45" s="126">
        <v>9</v>
      </c>
      <c r="B45" s="127" t="s">
        <v>127</v>
      </c>
      <c r="C45" s="127"/>
      <c r="D45" s="127"/>
      <c r="E45" s="148"/>
      <c r="F45" s="130"/>
      <c r="G45" s="126"/>
    </row>
    <row r="46" spans="1:7" ht="14.25" customHeight="1" x14ac:dyDescent="0.25">
      <c r="A46" s="122"/>
      <c r="B46" s="118" t="s">
        <v>128</v>
      </c>
      <c r="C46" s="118"/>
      <c r="D46" s="118"/>
      <c r="E46" s="147">
        <v>0.1</v>
      </c>
      <c r="F46" s="121">
        <f>F43*E46</f>
        <v>79.406247820000004</v>
      </c>
      <c r="G46" s="122" t="s">
        <v>103</v>
      </c>
    </row>
    <row r="47" spans="1:7" ht="14.25" customHeight="1" x14ac:dyDescent="0.25">
      <c r="A47" s="122"/>
      <c r="B47" s="118" t="s">
        <v>129</v>
      </c>
      <c r="C47" s="118"/>
      <c r="D47" s="118"/>
      <c r="E47" s="147">
        <v>0.15</v>
      </c>
      <c r="F47" s="121">
        <f>F43*E47</f>
        <v>119.10937172999999</v>
      </c>
      <c r="G47" s="122" t="s">
        <v>103</v>
      </c>
    </row>
    <row r="48" spans="1:7" ht="14.25" customHeight="1" x14ac:dyDescent="0.25">
      <c r="A48" s="122"/>
      <c r="B48" s="118"/>
      <c r="C48" s="118"/>
      <c r="D48" s="118"/>
      <c r="E48" s="147"/>
      <c r="F48" s="121"/>
      <c r="G48" s="122"/>
    </row>
    <row r="49" spans="1:7" ht="14.25" customHeight="1" x14ac:dyDescent="0.25">
      <c r="A49" s="126">
        <v>10</v>
      </c>
      <c r="B49" s="127" t="s">
        <v>130</v>
      </c>
      <c r="C49" s="127"/>
      <c r="D49" s="127"/>
      <c r="E49" s="148"/>
      <c r="F49" s="130"/>
      <c r="G49" s="126"/>
    </row>
    <row r="50" spans="1:7" ht="14.25" customHeight="1" x14ac:dyDescent="0.25">
      <c r="A50" s="122"/>
      <c r="B50" s="118" t="s">
        <v>128</v>
      </c>
      <c r="C50" s="118"/>
      <c r="D50" s="118"/>
      <c r="E50" s="147"/>
      <c r="F50" s="130">
        <f>F43+F46</f>
        <v>873.46872601999996</v>
      </c>
      <c r="G50" s="126" t="s">
        <v>103</v>
      </c>
    </row>
    <row r="51" spans="1:7" ht="14.25" customHeight="1" x14ac:dyDescent="0.25">
      <c r="A51" s="122"/>
      <c r="B51" s="118" t="s">
        <v>129</v>
      </c>
      <c r="C51" s="118"/>
      <c r="D51" s="118"/>
      <c r="E51" s="147"/>
      <c r="F51" s="130">
        <f>F43+F47</f>
        <v>913.17184993000001</v>
      </c>
      <c r="G51" s="126" t="s">
        <v>103</v>
      </c>
    </row>
    <row r="52" spans="1:7" ht="14.25" customHeight="1" x14ac:dyDescent="0.25">
      <c r="A52" s="113"/>
      <c r="B52" s="113"/>
      <c r="C52" s="113"/>
      <c r="D52" s="113"/>
      <c r="E52" s="113"/>
      <c r="F52" s="117"/>
      <c r="G52" s="113"/>
    </row>
    <row r="53" spans="1:7" ht="14.25" customHeight="1" x14ac:dyDescent="0.25">
      <c r="A53" s="113"/>
      <c r="B53" s="113"/>
      <c r="C53" s="113"/>
      <c r="D53" s="113"/>
      <c r="E53" s="113"/>
      <c r="F53" s="117"/>
      <c r="G53" s="113"/>
    </row>
    <row r="54" spans="1:7" ht="14.25" customHeight="1" x14ac:dyDescent="0.25">
      <c r="A54" s="31"/>
      <c r="B54" s="90" t="s">
        <v>56</v>
      </c>
      <c r="C54" s="90"/>
      <c r="D54" s="90"/>
      <c r="E54" s="31"/>
      <c r="F54" s="67" t="s">
        <v>58</v>
      </c>
      <c r="G54" s="31"/>
    </row>
    <row r="55" spans="1:7" ht="14.25" customHeight="1" x14ac:dyDescent="0.25">
      <c r="A55" s="31"/>
      <c r="B55" s="91" t="s">
        <v>57</v>
      </c>
      <c r="C55" s="90"/>
      <c r="D55" s="90"/>
      <c r="E55" s="31"/>
      <c r="F55" s="42"/>
      <c r="G55" s="31"/>
    </row>
  </sheetData>
  <mergeCells count="10">
    <mergeCell ref="C26:D26"/>
    <mergeCell ref="C30:D30"/>
    <mergeCell ref="C31:D31"/>
    <mergeCell ref="C32:D32"/>
    <mergeCell ref="A6:G6"/>
    <mergeCell ref="A7:G7"/>
    <mergeCell ref="A8:A9"/>
    <mergeCell ref="B8:E9"/>
    <mergeCell ref="F8:G8"/>
    <mergeCell ref="B10:D10"/>
  </mergeCells>
  <pageMargins left="0.25" right="0.25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0"/>
  <sheetViews>
    <sheetView topLeftCell="A10" workbookViewId="0">
      <selection activeCell="G22" sqref="G22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17" t="s">
        <v>222</v>
      </c>
      <c r="B1" s="317"/>
      <c r="C1" s="317"/>
      <c r="D1" s="317"/>
      <c r="E1" s="317"/>
      <c r="F1" s="317"/>
      <c r="G1" s="317"/>
    </row>
    <row r="2" spans="1:7" x14ac:dyDescent="0.25">
      <c r="A2" s="316" t="s">
        <v>135</v>
      </c>
      <c r="B2" s="316"/>
      <c r="C2" s="316"/>
      <c r="D2" s="316"/>
      <c r="E2" s="316"/>
      <c r="F2" s="316"/>
      <c r="G2" s="3"/>
    </row>
    <row r="3" spans="1:7" x14ac:dyDescent="0.25">
      <c r="A3" s="94"/>
      <c r="B3" s="5">
        <f>'План. расчет времени'!F28</f>
        <v>1347.3587305689916</v>
      </c>
      <c r="C3" s="3" t="s">
        <v>136</v>
      </c>
      <c r="D3" s="3"/>
      <c r="E3" s="3"/>
      <c r="F3" s="3"/>
      <c r="G3" s="3"/>
    </row>
    <row r="4" spans="1:7" x14ac:dyDescent="0.25">
      <c r="A4" s="316" t="s">
        <v>137</v>
      </c>
      <c r="B4" s="316"/>
      <c r="C4" s="316"/>
      <c r="D4" s="316"/>
      <c r="E4" s="316"/>
      <c r="F4" s="316"/>
      <c r="G4" s="93"/>
    </row>
    <row r="5" spans="1:7" x14ac:dyDescent="0.25">
      <c r="A5" s="3"/>
      <c r="B5" s="3">
        <v>40</v>
      </c>
      <c r="C5" s="3" t="s">
        <v>136</v>
      </c>
      <c r="D5" s="3"/>
      <c r="E5" s="3"/>
      <c r="F5" s="3"/>
      <c r="G5" s="93"/>
    </row>
    <row r="6" spans="1:7" x14ac:dyDescent="0.25">
      <c r="A6" s="316" t="s">
        <v>223</v>
      </c>
      <c r="B6" s="316"/>
      <c r="C6" s="316"/>
      <c r="D6" s="316"/>
      <c r="E6" s="316"/>
      <c r="F6" s="316"/>
      <c r="G6" s="93"/>
    </row>
    <row r="7" spans="1:7" x14ac:dyDescent="0.25">
      <c r="A7" s="316" t="s">
        <v>139</v>
      </c>
      <c r="B7" s="316"/>
      <c r="C7" s="316"/>
      <c r="D7" s="316"/>
      <c r="E7" s="316"/>
      <c r="F7" s="316"/>
      <c r="G7" s="316"/>
    </row>
    <row r="8" spans="1:7" x14ac:dyDescent="0.25">
      <c r="A8" s="316" t="s">
        <v>217</v>
      </c>
      <c r="B8" s="316"/>
      <c r="C8" s="316"/>
      <c r="D8" s="316"/>
      <c r="E8" s="316"/>
      <c r="F8" s="316"/>
      <c r="G8" s="3"/>
    </row>
    <row r="9" spans="1:7" x14ac:dyDescent="0.25">
      <c r="A9" s="93"/>
      <c r="B9" s="93"/>
      <c r="C9" s="93"/>
      <c r="D9" s="3">
        <v>80</v>
      </c>
      <c r="E9" s="3" t="s">
        <v>136</v>
      </c>
      <c r="F9" s="3"/>
      <c r="G9" s="3"/>
    </row>
    <row r="10" spans="1:7" x14ac:dyDescent="0.25">
      <c r="A10" s="319" t="s">
        <v>141</v>
      </c>
      <c r="B10" s="319"/>
      <c r="C10" s="319"/>
      <c r="D10" s="5">
        <f>B3-B5-D9</f>
        <v>1227.3587305689916</v>
      </c>
      <c r="E10" s="3" t="s">
        <v>136</v>
      </c>
      <c r="F10" s="3"/>
      <c r="G10" s="93"/>
    </row>
    <row r="11" spans="1:7" x14ac:dyDescent="0.25">
      <c r="A11" s="93"/>
      <c r="B11" s="93"/>
      <c r="C11" s="93"/>
      <c r="D11" s="93"/>
      <c r="E11" s="93"/>
      <c r="F11" s="93"/>
      <c r="G11" s="93"/>
    </row>
    <row r="12" spans="1:7" x14ac:dyDescent="0.25">
      <c r="A12" s="316" t="s">
        <v>142</v>
      </c>
      <c r="B12" s="316"/>
      <c r="C12" s="316"/>
      <c r="D12" s="316"/>
      <c r="E12" s="316"/>
      <c r="F12" s="3">
        <v>89596</v>
      </c>
      <c r="G12" s="3" t="s">
        <v>103</v>
      </c>
    </row>
    <row r="13" spans="1:7" x14ac:dyDescent="0.25">
      <c r="A13" s="93"/>
      <c r="B13" s="93"/>
      <c r="C13" s="3"/>
      <c r="D13" s="3"/>
      <c r="E13" s="3"/>
      <c r="F13" s="94"/>
      <c r="G13" s="94"/>
    </row>
    <row r="14" spans="1:7" ht="15.75" thickBot="1" x14ac:dyDescent="0.3">
      <c r="A14" s="375" t="s">
        <v>143</v>
      </c>
      <c r="B14" s="373" t="s">
        <v>144</v>
      </c>
      <c r="C14" s="373"/>
      <c r="D14" s="373"/>
      <c r="E14" s="3"/>
      <c r="F14" s="94"/>
      <c r="G14" s="94"/>
    </row>
    <row r="15" spans="1:7" x14ac:dyDescent="0.25">
      <c r="A15" s="375"/>
      <c r="B15" s="374" t="s">
        <v>145</v>
      </c>
      <c r="C15" s="374"/>
      <c r="D15" s="374"/>
      <c r="E15" s="3"/>
      <c r="F15" s="94"/>
      <c r="G15" s="94"/>
    </row>
    <row r="16" spans="1:7" x14ac:dyDescent="0.25">
      <c r="A16" s="99"/>
      <c r="B16" s="100"/>
      <c r="C16" s="100"/>
      <c r="D16" s="100"/>
      <c r="E16" s="3"/>
      <c r="F16" s="94"/>
      <c r="G16" s="94"/>
    </row>
    <row r="17" spans="1:7" ht="15.75" thickBot="1" x14ac:dyDescent="0.3">
      <c r="A17" s="372" t="s">
        <v>146</v>
      </c>
      <c r="B17" s="372"/>
      <c r="C17" s="373" t="s">
        <v>147</v>
      </c>
      <c r="D17" s="373"/>
      <c r="E17" s="373"/>
      <c r="F17" s="94"/>
      <c r="G17" s="94"/>
    </row>
    <row r="18" spans="1:7" x14ac:dyDescent="0.25">
      <c r="A18" s="372"/>
      <c r="B18" s="372"/>
      <c r="C18" s="374" t="s">
        <v>145</v>
      </c>
      <c r="D18" s="374"/>
      <c r="E18" s="374"/>
      <c r="F18" s="94"/>
      <c r="G18" s="94"/>
    </row>
    <row r="19" spans="1:7" x14ac:dyDescent="0.25">
      <c r="A19" s="9"/>
      <c r="B19" s="9"/>
      <c r="C19" s="101"/>
      <c r="D19" s="101"/>
      <c r="E19" s="101"/>
      <c r="F19" s="94"/>
      <c r="G19" s="94"/>
    </row>
    <row r="20" spans="1:7" x14ac:dyDescent="0.25">
      <c r="A20" s="9"/>
      <c r="B20" s="9"/>
      <c r="C20" s="101"/>
      <c r="D20" s="101"/>
      <c r="E20" s="320" t="s">
        <v>13</v>
      </c>
      <c r="F20" s="320"/>
      <c r="G20" s="94"/>
    </row>
    <row r="21" spans="1:7" x14ac:dyDescent="0.25">
      <c r="A21" s="321" t="s">
        <v>148</v>
      </c>
      <c r="B21" s="321"/>
      <c r="C21" s="321"/>
      <c r="D21" s="321"/>
      <c r="E21" s="321"/>
      <c r="F21" s="321"/>
      <c r="G21" s="94"/>
    </row>
    <row r="22" spans="1:7" x14ac:dyDescent="0.25">
      <c r="A22" s="377" t="s">
        <v>149</v>
      </c>
      <c r="B22" s="379" t="s">
        <v>16</v>
      </c>
      <c r="C22" s="380"/>
      <c r="D22" s="380"/>
      <c r="E22" s="381" t="s">
        <v>150</v>
      </c>
      <c r="F22" s="381"/>
      <c r="G22" s="102"/>
    </row>
    <row r="23" spans="1:7" ht="45" x14ac:dyDescent="0.25">
      <c r="A23" s="378"/>
      <c r="B23" s="103" t="s">
        <v>151</v>
      </c>
      <c r="C23" s="103" t="s">
        <v>152</v>
      </c>
      <c r="D23" s="104" t="s">
        <v>153</v>
      </c>
      <c r="E23" s="103" t="s">
        <v>154</v>
      </c>
      <c r="F23" s="103" t="s">
        <v>155</v>
      </c>
      <c r="G23" s="105"/>
    </row>
    <row r="24" spans="1:7" x14ac:dyDescent="0.25">
      <c r="A24" s="106" t="s">
        <v>224</v>
      </c>
      <c r="B24" s="107">
        <v>0</v>
      </c>
      <c r="C24" s="108">
        <f>F12</f>
        <v>89596</v>
      </c>
      <c r="D24" s="109">
        <f>D10</f>
        <v>1227.3587305689916</v>
      </c>
      <c r="E24" s="108">
        <f>B24/D24</f>
        <v>0</v>
      </c>
      <c r="F24" s="107">
        <f>C24/D24</f>
        <v>72.999032612465442</v>
      </c>
      <c r="G24" s="12"/>
    </row>
    <row r="25" spans="1:7" x14ac:dyDescent="0.25">
      <c r="A25" s="94"/>
      <c r="B25" s="94"/>
      <c r="C25" s="94"/>
      <c r="D25" s="94"/>
      <c r="E25" s="94"/>
      <c r="F25" s="94"/>
      <c r="G25" s="94"/>
    </row>
    <row r="26" spans="1:7" x14ac:dyDescent="0.25">
      <c r="A26" s="94"/>
      <c r="B26" s="94"/>
      <c r="C26" s="94"/>
      <c r="D26" s="94"/>
      <c r="E26" s="94"/>
      <c r="F26" s="94"/>
      <c r="G26" s="94"/>
    </row>
    <row r="27" spans="1:7" x14ac:dyDescent="0.25">
      <c r="A27" s="94"/>
      <c r="B27" s="94"/>
      <c r="C27" s="94"/>
      <c r="D27" s="94"/>
      <c r="E27" s="94"/>
      <c r="F27" s="94"/>
      <c r="G27" s="94"/>
    </row>
    <row r="28" spans="1:7" x14ac:dyDescent="0.25">
      <c r="A28" s="94"/>
      <c r="B28" s="94"/>
      <c r="C28" s="94"/>
      <c r="D28" s="94"/>
      <c r="E28" s="94"/>
      <c r="F28" s="94"/>
      <c r="G28" s="94"/>
    </row>
    <row r="29" spans="1:7" ht="15.75" x14ac:dyDescent="0.25">
      <c r="A29" s="382" t="s">
        <v>56</v>
      </c>
      <c r="B29" s="382"/>
      <c r="C29" s="382"/>
      <c r="D29" s="31"/>
      <c r="E29" s="340" t="s">
        <v>58</v>
      </c>
      <c r="F29" s="340"/>
      <c r="G29" s="340"/>
    </row>
    <row r="30" spans="1:7" ht="15.75" x14ac:dyDescent="0.25">
      <c r="A30" s="376" t="s">
        <v>57</v>
      </c>
      <c r="B30" s="376"/>
      <c r="C30" s="376"/>
      <c r="D30" s="31"/>
      <c r="E30" s="31"/>
      <c r="F30" s="91"/>
      <c r="G30" s="31"/>
    </row>
  </sheetData>
  <mergeCells count="22">
    <mergeCell ref="A30:C30"/>
    <mergeCell ref="E20:F20"/>
    <mergeCell ref="A21:F21"/>
    <mergeCell ref="A22:A23"/>
    <mergeCell ref="B22:D22"/>
    <mergeCell ref="E22:F22"/>
    <mergeCell ref="A29:C29"/>
    <mergeCell ref="E29:G29"/>
    <mergeCell ref="A17:B18"/>
    <mergeCell ref="C17:E17"/>
    <mergeCell ref="C18:E18"/>
    <mergeCell ref="A1:G1"/>
    <mergeCell ref="A2:F2"/>
    <mergeCell ref="A4:F4"/>
    <mergeCell ref="A6:F6"/>
    <mergeCell ref="A7:G7"/>
    <mergeCell ref="A8:F8"/>
    <mergeCell ref="A10:C10"/>
    <mergeCell ref="A12:E12"/>
    <mergeCell ref="A14:A15"/>
    <mergeCell ref="B14:D14"/>
    <mergeCell ref="B15:D15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5"/>
  <sheetViews>
    <sheetView topLeftCell="A22" workbookViewId="0">
      <selection activeCell="F29" sqref="F29"/>
    </sheetView>
  </sheetViews>
  <sheetFormatPr defaultRowHeight="15" x14ac:dyDescent="0.25"/>
  <cols>
    <col min="1" max="1" width="5.5703125" customWidth="1"/>
    <col min="2" max="2" width="26" customWidth="1"/>
    <col min="3" max="3" width="8" customWidth="1"/>
    <col min="4" max="4" width="16.7109375" customWidth="1"/>
    <col min="5" max="5" width="10.140625" customWidth="1"/>
    <col min="6" max="6" width="17.42578125" customWidth="1"/>
    <col min="7" max="7" width="12.28515625" customWidth="1"/>
  </cols>
  <sheetData>
    <row r="1" spans="1:7" ht="14.25" customHeight="1" x14ac:dyDescent="0.25">
      <c r="A1" s="113"/>
      <c r="B1" s="113"/>
      <c r="C1" s="144"/>
      <c r="D1" s="144"/>
      <c r="E1" s="113"/>
      <c r="F1" s="117"/>
      <c r="G1" s="115" t="s">
        <v>167</v>
      </c>
    </row>
    <row r="2" spans="1:7" ht="14.25" customHeight="1" x14ac:dyDescent="0.25">
      <c r="A2" s="113"/>
      <c r="B2" s="113"/>
      <c r="C2" s="144"/>
      <c r="D2" s="144"/>
      <c r="E2" s="113"/>
      <c r="F2" s="117"/>
      <c r="G2" s="115" t="s">
        <v>61</v>
      </c>
    </row>
    <row r="3" spans="1:7" ht="14.25" customHeight="1" x14ac:dyDescent="0.25">
      <c r="A3" s="113"/>
      <c r="B3" s="113"/>
      <c r="C3" s="144"/>
      <c r="D3" s="144"/>
      <c r="E3" s="113"/>
      <c r="F3" s="117"/>
      <c r="G3" s="115" t="s">
        <v>414</v>
      </c>
    </row>
    <row r="4" spans="1:7" ht="14.25" customHeight="1" x14ac:dyDescent="0.25">
      <c r="A4" s="113"/>
      <c r="B4" s="113"/>
      <c r="C4" s="144"/>
      <c r="D4" s="144"/>
      <c r="E4" s="113"/>
      <c r="F4" s="117"/>
      <c r="G4" s="115" t="s">
        <v>422</v>
      </c>
    </row>
    <row r="5" spans="1:7" ht="14.25" customHeight="1" x14ac:dyDescent="0.25">
      <c r="A5" s="113"/>
      <c r="B5" s="113"/>
      <c r="C5" s="144"/>
      <c r="D5" s="144"/>
      <c r="E5" s="113"/>
      <c r="F5" s="117"/>
      <c r="G5" s="113"/>
    </row>
    <row r="6" spans="1:7" ht="14.25" customHeight="1" x14ac:dyDescent="0.25">
      <c r="A6" s="407" t="s">
        <v>98</v>
      </c>
      <c r="B6" s="407"/>
      <c r="C6" s="407"/>
      <c r="D6" s="407"/>
      <c r="E6" s="407"/>
      <c r="F6" s="407"/>
      <c r="G6" s="407"/>
    </row>
    <row r="7" spans="1:7" ht="14.25" customHeight="1" x14ac:dyDescent="0.25">
      <c r="A7" s="394" t="s">
        <v>225</v>
      </c>
      <c r="B7" s="394"/>
      <c r="C7" s="394"/>
      <c r="D7" s="394"/>
      <c r="E7" s="394"/>
      <c r="F7" s="394"/>
      <c r="G7" s="394"/>
    </row>
    <row r="8" spans="1:7" ht="14.25" customHeight="1" x14ac:dyDescent="0.25">
      <c r="A8" s="431" t="s">
        <v>14</v>
      </c>
      <c r="B8" s="433" t="s">
        <v>100</v>
      </c>
      <c r="C8" s="434"/>
      <c r="D8" s="435"/>
      <c r="E8" s="439"/>
      <c r="F8" s="441" t="s">
        <v>101</v>
      </c>
      <c r="G8" s="441"/>
    </row>
    <row r="9" spans="1:7" ht="14.25" customHeight="1" x14ac:dyDescent="0.25">
      <c r="A9" s="432"/>
      <c r="B9" s="436"/>
      <c r="C9" s="437"/>
      <c r="D9" s="438"/>
      <c r="E9" s="440"/>
      <c r="F9" s="70" t="s">
        <v>102</v>
      </c>
      <c r="G9" s="214" t="s">
        <v>64</v>
      </c>
    </row>
    <row r="10" spans="1:7" ht="14.25" customHeight="1" x14ac:dyDescent="0.25">
      <c r="A10" s="118"/>
      <c r="B10" s="118" t="s">
        <v>158</v>
      </c>
      <c r="C10" s="122"/>
      <c r="D10" s="122" t="s">
        <v>159</v>
      </c>
      <c r="E10" s="118"/>
      <c r="F10" s="121">
        <v>62.85</v>
      </c>
      <c r="G10" s="122" t="s">
        <v>103</v>
      </c>
    </row>
    <row r="11" spans="1:7" ht="9" customHeight="1" x14ac:dyDescent="0.25">
      <c r="A11" s="118"/>
      <c r="B11" s="118"/>
      <c r="C11" s="122"/>
      <c r="D11" s="122"/>
      <c r="E11" s="118"/>
      <c r="F11" s="121"/>
      <c r="G11" s="122"/>
    </row>
    <row r="12" spans="1:7" ht="14.25" customHeight="1" x14ac:dyDescent="0.25">
      <c r="A12" s="118"/>
      <c r="B12" s="118" t="s">
        <v>104</v>
      </c>
      <c r="C12" s="122"/>
      <c r="D12" s="122"/>
      <c r="E12" s="147">
        <v>0.25</v>
      </c>
      <c r="F12" s="121">
        <f>F10*E12</f>
        <v>15.7125</v>
      </c>
      <c r="G12" s="122" t="s">
        <v>103</v>
      </c>
    </row>
    <row r="13" spans="1:7" ht="9" customHeight="1" x14ac:dyDescent="0.25">
      <c r="A13" s="118"/>
      <c r="B13" s="118"/>
      <c r="C13" s="122"/>
      <c r="D13" s="122"/>
      <c r="E13" s="118"/>
      <c r="F13" s="121"/>
      <c r="G13" s="122"/>
    </row>
    <row r="14" spans="1:7" ht="14.25" customHeight="1" x14ac:dyDescent="0.25">
      <c r="A14" s="118"/>
      <c r="B14" s="383" t="s">
        <v>105</v>
      </c>
      <c r="C14" s="384"/>
      <c r="D14" s="385"/>
      <c r="E14" s="147">
        <v>0.1</v>
      </c>
      <c r="F14" s="121">
        <f>F10*E14</f>
        <v>6.2850000000000001</v>
      </c>
      <c r="G14" s="122" t="str">
        <f>G12</f>
        <v>руб.</v>
      </c>
    </row>
    <row r="15" spans="1:7" ht="9" customHeight="1" x14ac:dyDescent="0.25">
      <c r="A15" s="118"/>
      <c r="B15" s="118"/>
      <c r="C15" s="122"/>
      <c r="D15" s="122"/>
      <c r="E15" s="118"/>
      <c r="F15" s="121"/>
      <c r="G15" s="122"/>
    </row>
    <row r="16" spans="1:7" ht="14.25" customHeight="1" x14ac:dyDescent="0.25">
      <c r="A16" s="118"/>
      <c r="B16" s="118" t="s">
        <v>216</v>
      </c>
      <c r="C16" s="122"/>
      <c r="D16" s="122"/>
      <c r="E16" s="147">
        <v>0.04</v>
      </c>
      <c r="F16" s="121">
        <f>F10*E16</f>
        <v>2.5140000000000002</v>
      </c>
      <c r="G16" s="122" t="s">
        <v>103</v>
      </c>
    </row>
    <row r="17" spans="1:7" ht="9" customHeight="1" x14ac:dyDescent="0.25">
      <c r="A17" s="118"/>
      <c r="B17" s="118"/>
      <c r="C17" s="122"/>
      <c r="D17" s="122"/>
      <c r="E17" s="118"/>
      <c r="F17" s="121"/>
      <c r="G17" s="122"/>
    </row>
    <row r="18" spans="1:7" ht="14.25" customHeight="1" x14ac:dyDescent="0.25">
      <c r="A18" s="118"/>
      <c r="B18" s="118" t="s">
        <v>106</v>
      </c>
      <c r="C18" s="122"/>
      <c r="D18" s="122"/>
      <c r="E18" s="147">
        <v>0.4</v>
      </c>
      <c r="F18" s="121">
        <f>F10*E18</f>
        <v>25.14</v>
      </c>
      <c r="G18" s="122" t="s">
        <v>103</v>
      </c>
    </row>
    <row r="19" spans="1:7" ht="9" customHeight="1" x14ac:dyDescent="0.25">
      <c r="A19" s="118"/>
      <c r="B19" s="118"/>
      <c r="C19" s="122"/>
      <c r="D19" s="122"/>
      <c r="E19" s="147"/>
      <c r="F19" s="121"/>
      <c r="G19" s="122"/>
    </row>
    <row r="20" spans="1:7" ht="14.25" customHeight="1" x14ac:dyDescent="0.25">
      <c r="A20" s="118"/>
      <c r="B20" s="118" t="s">
        <v>107</v>
      </c>
      <c r="C20" s="122"/>
      <c r="D20" s="122"/>
      <c r="E20" s="118"/>
      <c r="F20" s="121">
        <v>60</v>
      </c>
      <c r="G20" s="122" t="s">
        <v>108</v>
      </c>
    </row>
    <row r="21" spans="1:7" ht="14.25" customHeight="1" x14ac:dyDescent="0.25">
      <c r="A21" s="118"/>
      <c r="B21" s="118"/>
      <c r="C21" s="122"/>
      <c r="D21" s="122"/>
      <c r="E21" s="118"/>
      <c r="F21" s="121"/>
      <c r="G21" s="118"/>
    </row>
    <row r="22" spans="1:7" ht="14.25" customHeight="1" x14ac:dyDescent="0.25">
      <c r="A22" s="126">
        <v>1</v>
      </c>
      <c r="B22" s="127" t="s">
        <v>109</v>
      </c>
      <c r="C22" s="126"/>
      <c r="D22" s="126"/>
      <c r="E22" s="127"/>
      <c r="F22" s="130">
        <f>F10+F12+F14+F16+F18</f>
        <v>112.50149999999999</v>
      </c>
      <c r="G22" s="126" t="s">
        <v>103</v>
      </c>
    </row>
    <row r="23" spans="1:7" ht="14.25" customHeight="1" x14ac:dyDescent="0.25">
      <c r="A23" s="126"/>
      <c r="B23" s="127"/>
      <c r="C23" s="126"/>
      <c r="D23" s="122"/>
      <c r="E23" s="118"/>
      <c r="F23" s="121"/>
      <c r="G23" s="122"/>
    </row>
    <row r="24" spans="1:7" ht="14.25" customHeight="1" x14ac:dyDescent="0.25">
      <c r="A24" s="126">
        <v>2</v>
      </c>
      <c r="B24" s="127" t="s">
        <v>169</v>
      </c>
      <c r="C24" s="126"/>
      <c r="D24" s="126"/>
      <c r="E24" s="148">
        <v>0.30199999999999999</v>
      </c>
      <c r="F24" s="130">
        <f>E24*F22</f>
        <v>33.975452999999995</v>
      </c>
      <c r="G24" s="126" t="s">
        <v>103</v>
      </c>
    </row>
    <row r="25" spans="1:7" ht="14.25" customHeight="1" x14ac:dyDescent="0.25">
      <c r="A25" s="126"/>
      <c r="B25" s="127"/>
      <c r="C25" s="126"/>
      <c r="D25" s="122"/>
      <c r="E25" s="147"/>
      <c r="F25" s="121"/>
      <c r="G25" s="122"/>
    </row>
    <row r="26" spans="1:7" ht="14.25" customHeight="1" x14ac:dyDescent="0.25">
      <c r="A26" s="126">
        <v>3</v>
      </c>
      <c r="B26" s="127" t="s">
        <v>111</v>
      </c>
      <c r="C26" s="126"/>
      <c r="D26" s="126"/>
      <c r="E26" s="148"/>
      <c r="F26" s="130">
        <f>'Пробег 3309'!E25</f>
        <v>96.866764192876843</v>
      </c>
      <c r="G26" s="126" t="s">
        <v>103</v>
      </c>
    </row>
    <row r="27" spans="1:7" ht="14.25" customHeight="1" x14ac:dyDescent="0.25">
      <c r="A27" s="126"/>
      <c r="B27" s="127"/>
      <c r="C27" s="126"/>
      <c r="D27" s="122"/>
      <c r="E27" s="147"/>
      <c r="F27" s="121"/>
      <c r="G27" s="122"/>
    </row>
    <row r="28" spans="1:7" ht="14.25" customHeight="1" x14ac:dyDescent="0.25">
      <c r="A28" s="126">
        <v>4</v>
      </c>
      <c r="B28" s="127" t="s">
        <v>113</v>
      </c>
      <c r="C28" s="126"/>
      <c r="D28" s="126"/>
      <c r="E28" s="148"/>
      <c r="F28" s="130">
        <v>240.05</v>
      </c>
      <c r="G28" s="126" t="s">
        <v>103</v>
      </c>
    </row>
    <row r="29" spans="1:7" ht="14.25" customHeight="1" x14ac:dyDescent="0.25">
      <c r="A29" s="126"/>
      <c r="B29" s="127"/>
      <c r="C29" s="126"/>
      <c r="D29" s="122"/>
      <c r="E29" s="147"/>
      <c r="F29" s="121"/>
      <c r="G29" s="122"/>
    </row>
    <row r="30" spans="1:7" ht="14.25" customHeight="1" x14ac:dyDescent="0.25">
      <c r="A30" s="126">
        <v>5</v>
      </c>
      <c r="B30" s="127" t="s">
        <v>161</v>
      </c>
      <c r="C30" s="126"/>
      <c r="D30" s="122"/>
      <c r="E30" s="121"/>
      <c r="F30" s="133"/>
      <c r="G30" s="113"/>
    </row>
    <row r="31" spans="1:7" ht="14.25" customHeight="1" x14ac:dyDescent="0.25">
      <c r="A31" s="126"/>
      <c r="B31" s="118" t="s">
        <v>183</v>
      </c>
      <c r="C31" s="429" t="s">
        <v>226</v>
      </c>
      <c r="D31" s="430"/>
      <c r="E31" s="121"/>
      <c r="F31" s="133">
        <f>0.15*40</f>
        <v>6</v>
      </c>
      <c r="G31" s="122" t="s">
        <v>116</v>
      </c>
    </row>
    <row r="32" spans="1:7" ht="14.25" customHeight="1" x14ac:dyDescent="0.25">
      <c r="A32" s="126"/>
      <c r="B32" s="118" t="s">
        <v>72</v>
      </c>
      <c r="C32" s="429" t="s">
        <v>397</v>
      </c>
      <c r="D32" s="430"/>
      <c r="E32" s="133"/>
      <c r="F32" s="117">
        <f>1.35*2</f>
        <v>2.7</v>
      </c>
      <c r="G32" s="122" t="s">
        <v>116</v>
      </c>
    </row>
    <row r="33" spans="1:7" ht="14.25" customHeight="1" x14ac:dyDescent="0.25">
      <c r="A33" s="126"/>
      <c r="B33" s="118" t="s">
        <v>227</v>
      </c>
      <c r="C33" s="387">
        <f>F31+F32</f>
        <v>8.6999999999999993</v>
      </c>
      <c r="D33" s="385"/>
      <c r="E33" s="133">
        <v>35.1</v>
      </c>
      <c r="F33" s="135">
        <f>C33*E33</f>
        <v>305.37</v>
      </c>
      <c r="G33" s="126" t="s">
        <v>103</v>
      </c>
    </row>
    <row r="34" spans="1:7" ht="14.25" customHeight="1" x14ac:dyDescent="0.25">
      <c r="A34" s="126"/>
      <c r="B34" s="127"/>
      <c r="C34" s="126"/>
      <c r="D34" s="122"/>
      <c r="E34" s="121"/>
      <c r="F34" s="121"/>
      <c r="G34" s="122"/>
    </row>
    <row r="35" spans="1:7" ht="14.25" customHeight="1" x14ac:dyDescent="0.25">
      <c r="A35" s="126">
        <v>6</v>
      </c>
      <c r="B35" s="127" t="s">
        <v>117</v>
      </c>
      <c r="C35" s="126"/>
      <c r="D35" s="122"/>
      <c r="E35" s="215"/>
      <c r="F35" s="121"/>
      <c r="G35" s="122"/>
    </row>
    <row r="36" spans="1:7" ht="14.25" customHeight="1" x14ac:dyDescent="0.25">
      <c r="A36" s="126"/>
      <c r="B36" s="118" t="s">
        <v>118</v>
      </c>
      <c r="C36" s="151">
        <v>2.1999999999999999E-2</v>
      </c>
      <c r="D36" s="187" t="s">
        <v>119</v>
      </c>
      <c r="E36" s="139">
        <v>142.52000000000001</v>
      </c>
      <c r="F36" s="121">
        <f>C36*$C$33*E36</f>
        <v>27.278327999999998</v>
      </c>
      <c r="G36" s="122" t="s">
        <v>103</v>
      </c>
    </row>
    <row r="37" spans="1:7" ht="14.25" customHeight="1" x14ac:dyDescent="0.25">
      <c r="A37" s="126"/>
      <c r="B37" s="118" t="s">
        <v>120</v>
      </c>
      <c r="C37" s="151">
        <v>3.0000000000000001E-3</v>
      </c>
      <c r="D37" s="189" t="s">
        <v>121</v>
      </c>
      <c r="E37" s="139">
        <v>88.65</v>
      </c>
      <c r="F37" s="121">
        <f>C37*$C$33*E37</f>
        <v>2.3137650000000001</v>
      </c>
      <c r="G37" s="122" t="s">
        <v>103</v>
      </c>
    </row>
    <row r="38" spans="1:7" ht="14.25" customHeight="1" x14ac:dyDescent="0.25">
      <c r="A38" s="126"/>
      <c r="B38" s="118" t="s">
        <v>122</v>
      </c>
      <c r="C38" s="151">
        <v>1E-3</v>
      </c>
      <c r="D38" s="189" t="s">
        <v>121</v>
      </c>
      <c r="E38" s="139">
        <v>56.75</v>
      </c>
      <c r="F38" s="121">
        <f>C38*$C$33*E38</f>
        <v>0.49372499999999997</v>
      </c>
      <c r="G38" s="122" t="s">
        <v>103</v>
      </c>
    </row>
    <row r="39" spans="1:7" ht="14.25" customHeight="1" x14ac:dyDescent="0.25">
      <c r="A39" s="126"/>
      <c r="B39" s="118" t="s">
        <v>123</v>
      </c>
      <c r="C39" s="155">
        <v>2E-3</v>
      </c>
      <c r="D39" s="190" t="s">
        <v>121</v>
      </c>
      <c r="E39" s="139">
        <v>100.17</v>
      </c>
      <c r="F39" s="121">
        <f>C39*$C$33*E39</f>
        <v>1.742958</v>
      </c>
      <c r="G39" s="122" t="s">
        <v>103</v>
      </c>
    </row>
    <row r="40" spans="1:7" ht="14.25" customHeight="1" x14ac:dyDescent="0.25">
      <c r="A40" s="126"/>
      <c r="B40" s="118" t="s">
        <v>124</v>
      </c>
      <c r="C40" s="122"/>
      <c r="D40" s="200"/>
      <c r="E40" s="216"/>
      <c r="F40" s="130">
        <f>SUM(F36:F39)</f>
        <v>31.828776000000001</v>
      </c>
      <c r="G40" s="126" t="s">
        <v>103</v>
      </c>
    </row>
    <row r="41" spans="1:7" ht="9" customHeight="1" x14ac:dyDescent="0.25">
      <c r="A41" s="126"/>
      <c r="B41" s="118"/>
      <c r="C41" s="150"/>
      <c r="D41" s="122"/>
      <c r="E41" s="147"/>
      <c r="F41" s="121"/>
      <c r="G41" s="122"/>
    </row>
    <row r="42" spans="1:7" ht="14.25" customHeight="1" x14ac:dyDescent="0.25">
      <c r="A42" s="126">
        <v>7</v>
      </c>
      <c r="B42" s="127" t="s">
        <v>125</v>
      </c>
      <c r="C42" s="126"/>
      <c r="D42" s="126"/>
      <c r="E42" s="148">
        <v>0.62</v>
      </c>
      <c r="F42" s="130">
        <f>F22*E42</f>
        <v>69.750929999999997</v>
      </c>
      <c r="G42" s="126" t="s">
        <v>103</v>
      </c>
    </row>
    <row r="43" spans="1:7" ht="14.25" customHeight="1" x14ac:dyDescent="0.25">
      <c r="A43" s="122"/>
      <c r="B43" s="118"/>
      <c r="C43" s="122"/>
      <c r="D43" s="122"/>
      <c r="E43" s="147"/>
      <c r="F43" s="121"/>
      <c r="G43" s="122"/>
    </row>
    <row r="44" spans="1:7" ht="14.25" customHeight="1" x14ac:dyDescent="0.25">
      <c r="A44" s="126">
        <v>8</v>
      </c>
      <c r="B44" s="127" t="s">
        <v>126</v>
      </c>
      <c r="C44" s="126"/>
      <c r="D44" s="126"/>
      <c r="E44" s="148"/>
      <c r="F44" s="130">
        <f>F22+F24+F26+F28+F33+F40+F42</f>
        <v>890.3434231928768</v>
      </c>
      <c r="G44" s="126" t="s">
        <v>103</v>
      </c>
    </row>
    <row r="45" spans="1:7" ht="14.25" customHeight="1" x14ac:dyDescent="0.25">
      <c r="A45" s="126"/>
      <c r="B45" s="127"/>
      <c r="C45" s="126"/>
      <c r="D45" s="126"/>
      <c r="E45" s="148"/>
      <c r="F45" s="130"/>
      <c r="G45" s="126"/>
    </row>
    <row r="46" spans="1:7" ht="14.25" customHeight="1" x14ac:dyDescent="0.25">
      <c r="A46" s="126">
        <v>9</v>
      </c>
      <c r="B46" s="127" t="s">
        <v>127</v>
      </c>
      <c r="C46" s="126"/>
      <c r="D46" s="126"/>
      <c r="E46" s="148"/>
      <c r="F46" s="130"/>
      <c r="G46" s="126"/>
    </row>
    <row r="47" spans="1:7" ht="14.25" customHeight="1" x14ac:dyDescent="0.25">
      <c r="A47" s="122"/>
      <c r="B47" s="118" t="s">
        <v>128</v>
      </c>
      <c r="C47" s="122"/>
      <c r="D47" s="122"/>
      <c r="E47" s="147">
        <v>0.1</v>
      </c>
      <c r="F47" s="121">
        <f>F44*E47</f>
        <v>89.034342319287688</v>
      </c>
      <c r="G47" s="122" t="s">
        <v>103</v>
      </c>
    </row>
    <row r="48" spans="1:7" ht="14.25" customHeight="1" x14ac:dyDescent="0.25">
      <c r="A48" s="122"/>
      <c r="B48" s="118" t="s">
        <v>129</v>
      </c>
      <c r="C48" s="122"/>
      <c r="D48" s="122"/>
      <c r="E48" s="147">
        <v>0.15</v>
      </c>
      <c r="F48" s="121">
        <f>F44*E48</f>
        <v>133.55151347893153</v>
      </c>
      <c r="G48" s="122" t="s">
        <v>103</v>
      </c>
    </row>
    <row r="49" spans="1:7" ht="14.25" customHeight="1" x14ac:dyDescent="0.25">
      <c r="A49" s="126">
        <v>10</v>
      </c>
      <c r="B49" s="127" t="s">
        <v>130</v>
      </c>
      <c r="C49" s="126"/>
      <c r="D49" s="126"/>
      <c r="E49" s="148"/>
      <c r="F49" s="130"/>
      <c r="G49" s="126"/>
    </row>
    <row r="50" spans="1:7" ht="14.25" customHeight="1" x14ac:dyDescent="0.25">
      <c r="A50" s="122"/>
      <c r="B50" s="118" t="s">
        <v>128</v>
      </c>
      <c r="C50" s="122"/>
      <c r="D50" s="122"/>
      <c r="E50" s="147"/>
      <c r="F50" s="130">
        <f>F44+F47</f>
        <v>979.3777655121645</v>
      </c>
      <c r="G50" s="126" t="s">
        <v>103</v>
      </c>
    </row>
    <row r="51" spans="1:7" ht="14.25" customHeight="1" x14ac:dyDescent="0.25">
      <c r="A51" s="122"/>
      <c r="B51" s="118" t="s">
        <v>129</v>
      </c>
      <c r="C51" s="122"/>
      <c r="D51" s="122"/>
      <c r="E51" s="147"/>
      <c r="F51" s="130">
        <f>F44+F48</f>
        <v>1023.8949366718083</v>
      </c>
      <c r="G51" s="126" t="s">
        <v>103</v>
      </c>
    </row>
    <row r="52" spans="1:7" ht="14.25" customHeight="1" x14ac:dyDescent="0.25">
      <c r="A52" s="113"/>
      <c r="B52" s="113"/>
      <c r="C52" s="144"/>
      <c r="D52" s="144"/>
      <c r="E52" s="113"/>
      <c r="F52" s="117"/>
      <c r="G52" s="172"/>
    </row>
    <row r="53" spans="1:7" ht="14.25" customHeight="1" x14ac:dyDescent="0.25">
      <c r="A53" s="113"/>
      <c r="B53" s="113"/>
      <c r="C53" s="144"/>
      <c r="D53" s="144"/>
      <c r="E53" s="113"/>
      <c r="F53" s="117"/>
      <c r="G53" s="113"/>
    </row>
    <row r="54" spans="1:7" ht="14.25" customHeight="1" x14ac:dyDescent="0.25">
      <c r="A54" s="31"/>
      <c r="B54" s="90" t="s">
        <v>56</v>
      </c>
      <c r="C54" s="90"/>
      <c r="D54" s="90"/>
      <c r="E54" s="31"/>
      <c r="F54" s="67" t="s">
        <v>58</v>
      </c>
      <c r="G54" s="31"/>
    </row>
    <row r="55" spans="1:7" ht="14.25" customHeight="1" x14ac:dyDescent="0.25">
      <c r="A55" s="31"/>
      <c r="B55" s="91" t="s">
        <v>57</v>
      </c>
      <c r="C55" s="90"/>
      <c r="D55" s="90"/>
      <c r="E55" s="31"/>
      <c r="F55" s="42"/>
      <c r="G55" s="31"/>
    </row>
  </sheetData>
  <mergeCells count="10">
    <mergeCell ref="B14:D14"/>
    <mergeCell ref="C31:D31"/>
    <mergeCell ref="C32:D32"/>
    <mergeCell ref="C33:D33"/>
    <mergeCell ref="A6:G6"/>
    <mergeCell ref="A7:G7"/>
    <mergeCell ref="A8:A9"/>
    <mergeCell ref="B8:D9"/>
    <mergeCell ref="E8:E9"/>
    <mergeCell ref="F8:G8"/>
  </mergeCells>
  <pageMargins left="0.25" right="0.25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1"/>
  <sheetViews>
    <sheetView topLeftCell="A13" workbookViewId="0">
      <selection activeCell="F13" sqref="F13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17" t="s">
        <v>228</v>
      </c>
      <c r="B1" s="317"/>
      <c r="C1" s="317"/>
      <c r="D1" s="317"/>
      <c r="E1" s="317"/>
      <c r="F1" s="317"/>
      <c r="G1" s="317"/>
    </row>
    <row r="2" spans="1:7" x14ac:dyDescent="0.25">
      <c r="A2" s="316" t="s">
        <v>135</v>
      </c>
      <c r="B2" s="316"/>
      <c r="C2" s="316"/>
      <c r="D2" s="316"/>
      <c r="E2" s="316"/>
      <c r="F2" s="316"/>
      <c r="G2" s="3"/>
    </row>
    <row r="3" spans="1:7" x14ac:dyDescent="0.25">
      <c r="A3" s="94"/>
      <c r="B3" s="5">
        <v>750.92</v>
      </c>
      <c r="C3" s="3" t="s">
        <v>136</v>
      </c>
      <c r="D3" s="3"/>
      <c r="E3" s="3"/>
      <c r="F3" s="3"/>
      <c r="G3" s="3"/>
    </row>
    <row r="4" spans="1:7" x14ac:dyDescent="0.25">
      <c r="A4" s="316" t="s">
        <v>137</v>
      </c>
      <c r="B4" s="316"/>
      <c r="C4" s="316"/>
      <c r="D4" s="316"/>
      <c r="E4" s="316"/>
      <c r="F4" s="316"/>
      <c r="G4" s="93"/>
    </row>
    <row r="5" spans="1:7" x14ac:dyDescent="0.25">
      <c r="A5" s="3"/>
      <c r="B5" s="3">
        <v>40</v>
      </c>
      <c r="C5" s="3" t="s">
        <v>136</v>
      </c>
      <c r="D5" s="3"/>
      <c r="E5" s="3"/>
      <c r="F5" s="3"/>
      <c r="G5" s="93"/>
    </row>
    <row r="6" spans="1:7" x14ac:dyDescent="0.25">
      <c r="A6" s="316" t="s">
        <v>173</v>
      </c>
      <c r="B6" s="316"/>
      <c r="C6" s="316"/>
      <c r="D6" s="316"/>
      <c r="E6" s="316"/>
      <c r="F6" s="316"/>
      <c r="G6" s="316"/>
    </row>
    <row r="7" spans="1:7" x14ac:dyDescent="0.25">
      <c r="A7" s="3"/>
      <c r="B7" s="3"/>
      <c r="C7" s="3" t="s">
        <v>136</v>
      </c>
      <c r="D7" s="94"/>
      <c r="E7" s="94"/>
      <c r="F7" s="3"/>
      <c r="G7" s="3"/>
    </row>
    <row r="8" spans="1:7" x14ac:dyDescent="0.25">
      <c r="A8" s="93"/>
      <c r="B8" s="93"/>
      <c r="C8" s="93"/>
      <c r="D8" s="3"/>
      <c r="E8" s="3"/>
      <c r="F8" s="3"/>
      <c r="G8" s="3"/>
    </row>
    <row r="9" spans="1:7" x14ac:dyDescent="0.25">
      <c r="A9" s="404" t="s">
        <v>141</v>
      </c>
      <c r="B9" s="404"/>
      <c r="C9" s="404"/>
      <c r="D9" s="158">
        <f>B3-B5-B7</f>
        <v>710.92</v>
      </c>
      <c r="E9" s="159" t="s">
        <v>136</v>
      </c>
      <c r="F9" s="159"/>
      <c r="G9" s="9"/>
    </row>
    <row r="10" spans="1:7" x14ac:dyDescent="0.25">
      <c r="A10" s="93"/>
      <c r="B10" s="93"/>
      <c r="C10" s="93"/>
      <c r="D10" s="93"/>
      <c r="E10" s="93"/>
      <c r="F10" s="93"/>
      <c r="G10" s="93"/>
    </row>
    <row r="11" spans="1:7" x14ac:dyDescent="0.25">
      <c r="A11" s="316" t="s">
        <v>174</v>
      </c>
      <c r="B11" s="316"/>
      <c r="C11" s="3">
        <v>68864.52</v>
      </c>
      <c r="D11" s="3" t="s">
        <v>103</v>
      </c>
      <c r="E11" s="3"/>
      <c r="F11" s="93"/>
      <c r="G11" s="93"/>
    </row>
    <row r="12" spans="1:7" x14ac:dyDescent="0.25">
      <c r="A12" s="93"/>
      <c r="B12" s="93"/>
      <c r="C12" s="93"/>
      <c r="D12" s="93"/>
      <c r="E12" s="93"/>
      <c r="F12" s="93"/>
      <c r="G12" s="93"/>
    </row>
    <row r="13" spans="1:7" x14ac:dyDescent="0.25">
      <c r="A13" s="316" t="s">
        <v>175</v>
      </c>
      <c r="B13" s="316"/>
      <c r="C13" s="316"/>
      <c r="D13" s="316"/>
      <c r="E13" s="316"/>
      <c r="F13" s="3">
        <v>28474</v>
      </c>
      <c r="G13" s="3" t="s">
        <v>103</v>
      </c>
    </row>
    <row r="14" spans="1:7" x14ac:dyDescent="0.25">
      <c r="A14" s="93"/>
      <c r="B14" s="93"/>
      <c r="C14" s="3"/>
      <c r="D14" s="3"/>
      <c r="E14" s="3"/>
      <c r="F14" s="94"/>
      <c r="G14" s="94"/>
    </row>
    <row r="15" spans="1:7" ht="15.75" thickBot="1" x14ac:dyDescent="0.3">
      <c r="A15" s="375" t="s">
        <v>143</v>
      </c>
      <c r="B15" s="373" t="s">
        <v>144</v>
      </c>
      <c r="C15" s="373"/>
      <c r="D15" s="373"/>
      <c r="E15" s="3"/>
      <c r="F15" s="94"/>
      <c r="G15" s="94"/>
    </row>
    <row r="16" spans="1:7" x14ac:dyDescent="0.25">
      <c r="A16" s="375"/>
      <c r="B16" s="374" t="s">
        <v>145</v>
      </c>
      <c r="C16" s="374"/>
      <c r="D16" s="374"/>
      <c r="E16" s="3"/>
      <c r="F16" s="94"/>
      <c r="G16" s="94"/>
    </row>
    <row r="17" spans="1:7" x14ac:dyDescent="0.25">
      <c r="A17" s="99"/>
      <c r="B17" s="100"/>
      <c r="C17" s="100"/>
      <c r="D17" s="100"/>
      <c r="E17" s="3"/>
      <c r="F17" s="94"/>
      <c r="G17" s="94"/>
    </row>
    <row r="18" spans="1:7" ht="15.75" thickBot="1" x14ac:dyDescent="0.3">
      <c r="A18" s="372" t="s">
        <v>146</v>
      </c>
      <c r="B18" s="372"/>
      <c r="C18" s="373" t="s">
        <v>147</v>
      </c>
      <c r="D18" s="373"/>
      <c r="E18" s="373"/>
      <c r="F18" s="94"/>
      <c r="G18" s="94"/>
    </row>
    <row r="19" spans="1:7" x14ac:dyDescent="0.25">
      <c r="A19" s="372"/>
      <c r="B19" s="372"/>
      <c r="C19" s="374" t="s">
        <v>145</v>
      </c>
      <c r="D19" s="374"/>
      <c r="E19" s="374"/>
      <c r="F19" s="94"/>
      <c r="G19" s="94"/>
    </row>
    <row r="20" spans="1:7" x14ac:dyDescent="0.25">
      <c r="A20" s="9"/>
      <c r="B20" s="9"/>
      <c r="C20" s="101"/>
      <c r="D20" s="101"/>
      <c r="E20" s="101"/>
      <c r="F20" s="94"/>
      <c r="G20" s="94"/>
    </row>
    <row r="21" spans="1:7" x14ac:dyDescent="0.25">
      <c r="A21" s="9"/>
      <c r="B21" s="9"/>
      <c r="C21" s="101"/>
      <c r="D21" s="101"/>
      <c r="E21" s="320" t="s">
        <v>13</v>
      </c>
      <c r="F21" s="320"/>
      <c r="G21" s="94"/>
    </row>
    <row r="22" spans="1:7" x14ac:dyDescent="0.25">
      <c r="A22" s="321" t="s">
        <v>148</v>
      </c>
      <c r="B22" s="321"/>
      <c r="C22" s="321"/>
      <c r="D22" s="321"/>
      <c r="E22" s="321"/>
      <c r="F22" s="321"/>
      <c r="G22" s="94"/>
    </row>
    <row r="23" spans="1:7" x14ac:dyDescent="0.25">
      <c r="A23" s="377" t="s">
        <v>149</v>
      </c>
      <c r="B23" s="379" t="s">
        <v>16</v>
      </c>
      <c r="C23" s="380"/>
      <c r="D23" s="380"/>
      <c r="E23" s="381" t="s">
        <v>150</v>
      </c>
      <c r="F23" s="381"/>
      <c r="G23" s="102"/>
    </row>
    <row r="24" spans="1:7" ht="45" x14ac:dyDescent="0.25">
      <c r="A24" s="378"/>
      <c r="B24" s="103" t="s">
        <v>151</v>
      </c>
      <c r="C24" s="103" t="s">
        <v>152</v>
      </c>
      <c r="D24" s="104" t="s">
        <v>153</v>
      </c>
      <c r="E24" s="103" t="s">
        <v>154</v>
      </c>
      <c r="F24" s="103" t="s">
        <v>155</v>
      </c>
      <c r="G24" s="105"/>
    </row>
    <row r="25" spans="1:7" x14ac:dyDescent="0.25">
      <c r="A25" s="106" t="s">
        <v>229</v>
      </c>
      <c r="B25" s="107">
        <f>C11</f>
        <v>68864.52</v>
      </c>
      <c r="C25" s="108">
        <f>F13</f>
        <v>28474</v>
      </c>
      <c r="D25" s="109">
        <f>D9</f>
        <v>710.92</v>
      </c>
      <c r="E25" s="108">
        <f>B25/D25</f>
        <v>96.866764192876843</v>
      </c>
      <c r="F25" s="107">
        <f>C25/D25</f>
        <v>40.052326562763746</v>
      </c>
      <c r="G25" s="12"/>
    </row>
    <row r="26" spans="1:7" x14ac:dyDescent="0.25">
      <c r="A26" s="94"/>
      <c r="B26" s="94"/>
      <c r="C26" s="94"/>
      <c r="D26" s="94"/>
      <c r="E26" s="94"/>
      <c r="F26" s="94"/>
      <c r="G26" s="94"/>
    </row>
    <row r="27" spans="1:7" x14ac:dyDescent="0.25">
      <c r="A27" s="94"/>
      <c r="B27" s="94"/>
      <c r="C27" s="94"/>
      <c r="D27" s="94"/>
      <c r="E27" s="94"/>
      <c r="F27" s="94"/>
      <c r="G27" s="94"/>
    </row>
    <row r="28" spans="1:7" x14ac:dyDescent="0.25">
      <c r="A28" s="94"/>
      <c r="B28" s="94"/>
      <c r="C28" s="94"/>
      <c r="D28" s="94"/>
      <c r="E28" s="94"/>
      <c r="F28" s="94"/>
      <c r="G28" s="94"/>
    </row>
    <row r="29" spans="1:7" x14ac:dyDescent="0.25">
      <c r="A29" s="94"/>
      <c r="B29" s="94"/>
      <c r="C29" s="94"/>
      <c r="D29" s="94"/>
      <c r="E29" s="94"/>
      <c r="F29" s="94"/>
      <c r="G29" s="94"/>
    </row>
    <row r="30" spans="1:7" ht="15.75" x14ac:dyDescent="0.25">
      <c r="A30" s="382" t="s">
        <v>56</v>
      </c>
      <c r="B30" s="382"/>
      <c r="C30" s="382"/>
      <c r="D30" s="31"/>
      <c r="E30" s="340" t="s">
        <v>58</v>
      </c>
      <c r="F30" s="340"/>
      <c r="G30" s="340"/>
    </row>
    <row r="31" spans="1:7" ht="15.75" x14ac:dyDescent="0.25">
      <c r="A31" s="376" t="s">
        <v>57</v>
      </c>
      <c r="B31" s="376"/>
      <c r="C31" s="376"/>
      <c r="D31" s="31"/>
      <c r="E31" s="31"/>
      <c r="F31" s="91"/>
      <c r="G31" s="31"/>
    </row>
  </sheetData>
  <mergeCells count="21">
    <mergeCell ref="A31:C31"/>
    <mergeCell ref="E21:F21"/>
    <mergeCell ref="A22:F22"/>
    <mergeCell ref="A23:A24"/>
    <mergeCell ref="B23:D23"/>
    <mergeCell ref="E23:F23"/>
    <mergeCell ref="A30:C30"/>
    <mergeCell ref="E30:G30"/>
    <mergeCell ref="A13:E13"/>
    <mergeCell ref="A15:A16"/>
    <mergeCell ref="B15:D15"/>
    <mergeCell ref="B16:D16"/>
    <mergeCell ref="A18:B19"/>
    <mergeCell ref="C18:E18"/>
    <mergeCell ref="C19:E19"/>
    <mergeCell ref="A11:B11"/>
    <mergeCell ref="A1:G1"/>
    <mergeCell ref="A2:F2"/>
    <mergeCell ref="A4:F4"/>
    <mergeCell ref="A6:G6"/>
    <mergeCell ref="A9:C9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6"/>
  <sheetViews>
    <sheetView workbookViewId="0">
      <selection activeCell="B52" sqref="B52"/>
    </sheetView>
  </sheetViews>
  <sheetFormatPr defaultRowHeight="15" x14ac:dyDescent="0.25"/>
  <cols>
    <col min="1" max="1" width="5" customWidth="1"/>
    <col min="2" max="2" width="30.28515625" customWidth="1"/>
    <col min="3" max="3" width="10.140625" customWidth="1"/>
    <col min="4" max="4" width="14.140625" customWidth="1"/>
    <col min="5" max="5" width="9.85546875" customWidth="1"/>
    <col min="6" max="6" width="17.42578125" customWidth="1"/>
    <col min="7" max="7" width="9.85546875" customWidth="1"/>
  </cols>
  <sheetData>
    <row r="1" spans="1:7" ht="14.25" customHeight="1" x14ac:dyDescent="0.25">
      <c r="A1" s="113"/>
      <c r="B1" s="113"/>
      <c r="C1" s="144"/>
      <c r="D1" s="144"/>
      <c r="E1" s="113"/>
      <c r="F1" s="113"/>
      <c r="G1" s="115" t="s">
        <v>167</v>
      </c>
    </row>
    <row r="2" spans="1:7" ht="14.25" customHeight="1" x14ac:dyDescent="0.25">
      <c r="A2" s="113"/>
      <c r="B2" s="113"/>
      <c r="C2" s="144"/>
      <c r="D2" s="144"/>
      <c r="E2" s="113"/>
      <c r="F2" s="113"/>
      <c r="G2" s="115" t="s">
        <v>61</v>
      </c>
    </row>
    <row r="3" spans="1:7" ht="14.25" customHeight="1" x14ac:dyDescent="0.25">
      <c r="A3" s="113"/>
      <c r="B3" s="113"/>
      <c r="C3" s="144"/>
      <c r="D3" s="144"/>
      <c r="E3" s="113"/>
      <c r="F3" s="113"/>
      <c r="G3" s="115" t="s">
        <v>414</v>
      </c>
    </row>
    <row r="4" spans="1:7" ht="14.25" customHeight="1" x14ac:dyDescent="0.25">
      <c r="A4" s="113"/>
      <c r="B4" s="113"/>
      <c r="C4" s="144"/>
      <c r="D4" s="144"/>
      <c r="E4" s="113"/>
      <c r="F4" s="113"/>
      <c r="G4" s="115" t="s">
        <v>423</v>
      </c>
    </row>
    <row r="5" spans="1:7" ht="14.25" customHeight="1" x14ac:dyDescent="0.25">
      <c r="A5" s="113"/>
      <c r="B5" s="113"/>
      <c r="C5" s="144"/>
      <c r="D5" s="144"/>
      <c r="E5" s="117"/>
      <c r="F5" s="113"/>
      <c r="G5" s="113"/>
    </row>
    <row r="6" spans="1:7" ht="14.25" customHeight="1" x14ac:dyDescent="0.25">
      <c r="A6" s="394" t="s">
        <v>98</v>
      </c>
      <c r="B6" s="394"/>
      <c r="C6" s="394"/>
      <c r="D6" s="394"/>
      <c r="E6" s="394"/>
      <c r="F6" s="394"/>
      <c r="G6" s="394"/>
    </row>
    <row r="7" spans="1:7" ht="14.25" customHeight="1" x14ac:dyDescent="0.25">
      <c r="A7" s="394" t="s">
        <v>230</v>
      </c>
      <c r="B7" s="394"/>
      <c r="C7" s="394"/>
      <c r="D7" s="394"/>
      <c r="E7" s="394"/>
      <c r="F7" s="394"/>
      <c r="G7" s="394"/>
    </row>
    <row r="8" spans="1:7" ht="14.25" customHeight="1" x14ac:dyDescent="0.25">
      <c r="A8" s="350" t="s">
        <v>14</v>
      </c>
      <c r="B8" s="388" t="s">
        <v>100</v>
      </c>
      <c r="C8" s="389"/>
      <c r="D8" s="389"/>
      <c r="E8" s="390"/>
      <c r="F8" s="354" t="s">
        <v>101</v>
      </c>
      <c r="G8" s="354"/>
    </row>
    <row r="9" spans="1:7" ht="14.25" customHeight="1" x14ac:dyDescent="0.25">
      <c r="A9" s="351"/>
      <c r="B9" s="391"/>
      <c r="C9" s="392"/>
      <c r="D9" s="392"/>
      <c r="E9" s="393"/>
      <c r="F9" s="70" t="s">
        <v>102</v>
      </c>
      <c r="G9" s="97" t="s">
        <v>64</v>
      </c>
    </row>
    <row r="10" spans="1:7" ht="14.25" customHeight="1" x14ac:dyDescent="0.25">
      <c r="A10" s="118"/>
      <c r="B10" s="383" t="s">
        <v>131</v>
      </c>
      <c r="C10" s="384"/>
      <c r="D10" s="385"/>
      <c r="E10" s="118"/>
      <c r="F10" s="121">
        <v>74.34</v>
      </c>
      <c r="G10" s="122" t="s">
        <v>103</v>
      </c>
    </row>
    <row r="11" spans="1:7" ht="9" customHeight="1" x14ac:dyDescent="0.25">
      <c r="A11" s="118"/>
      <c r="B11" s="118"/>
      <c r="C11" s="122"/>
      <c r="D11" s="122"/>
      <c r="E11" s="118"/>
      <c r="F11" s="121"/>
      <c r="G11" s="122"/>
    </row>
    <row r="12" spans="1:7" ht="14.25" customHeight="1" x14ac:dyDescent="0.25">
      <c r="A12" s="118"/>
      <c r="B12" s="118" t="s">
        <v>104</v>
      </c>
      <c r="C12" s="122"/>
      <c r="D12" s="122"/>
      <c r="E12" s="147">
        <v>0.25</v>
      </c>
      <c r="F12" s="121">
        <f>F10*E12</f>
        <v>18.585000000000001</v>
      </c>
      <c r="G12" s="122" t="s">
        <v>103</v>
      </c>
    </row>
    <row r="13" spans="1:7" ht="9" customHeight="1" x14ac:dyDescent="0.25">
      <c r="A13" s="118"/>
      <c r="B13" s="118"/>
      <c r="C13" s="122"/>
      <c r="D13" s="122"/>
      <c r="E13" s="118"/>
      <c r="F13" s="121"/>
      <c r="G13" s="122"/>
    </row>
    <row r="14" spans="1:7" ht="14.25" customHeight="1" x14ac:dyDescent="0.25">
      <c r="A14" s="118"/>
      <c r="B14" s="118" t="s">
        <v>105</v>
      </c>
      <c r="C14" s="122"/>
      <c r="D14" s="122"/>
      <c r="E14" s="147">
        <v>0.1</v>
      </c>
      <c r="F14" s="121">
        <f>F10*E14</f>
        <v>7.4340000000000011</v>
      </c>
      <c r="G14" s="122" t="str">
        <f>G12</f>
        <v>руб.</v>
      </c>
    </row>
    <row r="15" spans="1:7" ht="9" customHeight="1" x14ac:dyDescent="0.25">
      <c r="A15" s="118"/>
      <c r="B15" s="118"/>
      <c r="C15" s="122"/>
      <c r="D15" s="122"/>
      <c r="E15" s="118"/>
      <c r="F15" s="121"/>
      <c r="G15" s="122"/>
    </row>
    <row r="16" spans="1:7" ht="14.25" customHeight="1" x14ac:dyDescent="0.25">
      <c r="A16" s="118"/>
      <c r="B16" s="118" t="s">
        <v>216</v>
      </c>
      <c r="C16" s="122"/>
      <c r="D16" s="122"/>
      <c r="E16" s="147">
        <v>0.04</v>
      </c>
      <c r="F16" s="121">
        <f>F10*E16</f>
        <v>2.9736000000000002</v>
      </c>
      <c r="G16" s="122" t="s">
        <v>103</v>
      </c>
    </row>
    <row r="17" spans="1:7" ht="9" customHeight="1" x14ac:dyDescent="0.25">
      <c r="A17" s="118"/>
      <c r="B17" s="118"/>
      <c r="C17" s="122"/>
      <c r="D17" s="122"/>
      <c r="E17" s="147"/>
      <c r="F17" s="121"/>
      <c r="G17" s="122"/>
    </row>
    <row r="18" spans="1:7" ht="14.25" customHeight="1" x14ac:dyDescent="0.25">
      <c r="A18" s="118"/>
      <c r="B18" s="118" t="s">
        <v>106</v>
      </c>
      <c r="C18" s="122"/>
      <c r="D18" s="122"/>
      <c r="E18" s="147">
        <v>0.4</v>
      </c>
      <c r="F18" s="121">
        <f>(F10)*E18</f>
        <v>29.736000000000004</v>
      </c>
      <c r="G18" s="122" t="s">
        <v>103</v>
      </c>
    </row>
    <row r="19" spans="1:7" ht="9" customHeight="1" x14ac:dyDescent="0.25">
      <c r="A19" s="118"/>
      <c r="B19" s="118"/>
      <c r="C19" s="122"/>
      <c r="D19" s="122"/>
      <c r="E19" s="147"/>
      <c r="F19" s="121"/>
      <c r="G19" s="122"/>
    </row>
    <row r="20" spans="1:7" ht="14.25" customHeight="1" x14ac:dyDescent="0.25">
      <c r="A20" s="118"/>
      <c r="B20" s="118" t="s">
        <v>107</v>
      </c>
      <c r="C20" s="122"/>
      <c r="D20" s="122"/>
      <c r="E20" s="118"/>
      <c r="F20" s="121">
        <v>60</v>
      </c>
      <c r="G20" s="122" t="s">
        <v>108</v>
      </c>
    </row>
    <row r="21" spans="1:7" ht="9" customHeight="1" x14ac:dyDescent="0.25">
      <c r="A21" s="118"/>
      <c r="B21" s="118"/>
      <c r="C21" s="122"/>
      <c r="D21" s="122"/>
      <c r="E21" s="118"/>
      <c r="F21" s="121"/>
      <c r="G21" s="118"/>
    </row>
    <row r="22" spans="1:7" ht="14.25" customHeight="1" x14ac:dyDescent="0.25">
      <c r="A22" s="126">
        <v>1</v>
      </c>
      <c r="B22" s="127" t="s">
        <v>109</v>
      </c>
      <c r="C22" s="126"/>
      <c r="D22" s="126"/>
      <c r="E22" s="127"/>
      <c r="F22" s="130">
        <f>F18+F16+F14+F12+F10</f>
        <v>133.0686</v>
      </c>
      <c r="G22" s="126" t="s">
        <v>103</v>
      </c>
    </row>
    <row r="23" spans="1:7" ht="14.25" customHeight="1" x14ac:dyDescent="0.25">
      <c r="A23" s="126"/>
      <c r="B23" s="127"/>
      <c r="C23" s="126"/>
      <c r="D23" s="122"/>
      <c r="E23" s="118"/>
      <c r="F23" s="121"/>
      <c r="G23" s="122"/>
    </row>
    <row r="24" spans="1:7" ht="14.25" customHeight="1" x14ac:dyDescent="0.25">
      <c r="A24" s="126">
        <v>2</v>
      </c>
      <c r="B24" s="127" t="s">
        <v>110</v>
      </c>
      <c r="C24" s="126"/>
      <c r="D24" s="126"/>
      <c r="E24" s="148">
        <v>0.30199999999999999</v>
      </c>
      <c r="F24" s="130">
        <f>E24*F22</f>
        <v>40.186717199999997</v>
      </c>
      <c r="G24" s="126" t="s">
        <v>103</v>
      </c>
    </row>
    <row r="25" spans="1:7" ht="14.25" customHeight="1" x14ac:dyDescent="0.25">
      <c r="A25" s="126"/>
      <c r="B25" s="127"/>
      <c r="C25" s="126"/>
      <c r="D25" s="122"/>
      <c r="E25" s="147"/>
      <c r="F25" s="121"/>
      <c r="G25" s="122"/>
    </row>
    <row r="26" spans="1:7" ht="14.25" customHeight="1" x14ac:dyDescent="0.25">
      <c r="A26" s="126">
        <v>3</v>
      </c>
      <c r="B26" s="127" t="s">
        <v>111</v>
      </c>
      <c r="C26" s="126"/>
      <c r="D26" s="126"/>
      <c r="E26" s="148"/>
      <c r="F26" s="130">
        <v>285.67</v>
      </c>
      <c r="G26" s="126" t="s">
        <v>103</v>
      </c>
    </row>
    <row r="27" spans="1:7" ht="14.25" customHeight="1" x14ac:dyDescent="0.25">
      <c r="A27" s="126"/>
      <c r="B27" s="127"/>
      <c r="C27" s="126"/>
      <c r="D27" s="122"/>
      <c r="E27" s="147"/>
      <c r="F27" s="121"/>
      <c r="G27" s="122"/>
    </row>
    <row r="28" spans="1:7" ht="14.25" customHeight="1" x14ac:dyDescent="0.25">
      <c r="A28" s="126">
        <v>4</v>
      </c>
      <c r="B28" s="127" t="s">
        <v>113</v>
      </c>
      <c r="C28" s="126"/>
      <c r="D28" s="126"/>
      <c r="E28" s="148"/>
      <c r="F28" s="130">
        <v>439</v>
      </c>
      <c r="G28" s="126" t="s">
        <v>103</v>
      </c>
    </row>
    <row r="29" spans="1:7" ht="14.25" customHeight="1" x14ac:dyDescent="0.25">
      <c r="A29" s="126"/>
      <c r="B29" s="127"/>
      <c r="C29" s="126"/>
      <c r="D29" s="122"/>
      <c r="E29" s="147"/>
      <c r="F29" s="121"/>
      <c r="G29" s="122"/>
    </row>
    <row r="30" spans="1:7" ht="14.25" customHeight="1" x14ac:dyDescent="0.25">
      <c r="A30" s="126">
        <v>5</v>
      </c>
      <c r="B30" s="127" t="s">
        <v>161</v>
      </c>
      <c r="C30" s="126"/>
      <c r="D30" s="122"/>
      <c r="E30" s="132"/>
      <c r="F30" s="117"/>
      <c r="G30" s="113"/>
    </row>
    <row r="31" spans="1:7" ht="14.25" customHeight="1" x14ac:dyDescent="0.25">
      <c r="A31" s="126"/>
      <c r="B31" s="127"/>
      <c r="C31" s="383" t="s">
        <v>231</v>
      </c>
      <c r="D31" s="385"/>
      <c r="E31" s="210"/>
      <c r="F31" s="121">
        <f>0.371*50</f>
        <v>18.55</v>
      </c>
      <c r="G31" s="122" t="s">
        <v>116</v>
      </c>
    </row>
    <row r="32" spans="1:7" ht="14.25" customHeight="1" x14ac:dyDescent="0.25">
      <c r="A32" s="126"/>
      <c r="B32" s="127"/>
      <c r="C32" s="383" t="s">
        <v>232</v>
      </c>
      <c r="D32" s="385"/>
      <c r="E32" s="217"/>
      <c r="F32" s="121">
        <f>11.3*2</f>
        <v>22.6</v>
      </c>
      <c r="G32" s="122" t="s">
        <v>116</v>
      </c>
    </row>
    <row r="33" spans="1:7" ht="14.25" customHeight="1" x14ac:dyDescent="0.25">
      <c r="A33" s="126"/>
      <c r="B33" s="127"/>
      <c r="C33" s="405">
        <f>F31+F32</f>
        <v>41.150000000000006</v>
      </c>
      <c r="D33" s="406"/>
      <c r="E33" s="217">
        <v>29.95</v>
      </c>
      <c r="F33" s="135">
        <f>C33*E33</f>
        <v>1232.4425000000001</v>
      </c>
      <c r="G33" s="122" t="s">
        <v>103</v>
      </c>
    </row>
    <row r="34" spans="1:7" ht="14.25" customHeight="1" x14ac:dyDescent="0.25">
      <c r="A34" s="126"/>
      <c r="B34" s="127"/>
      <c r="C34" s="126"/>
      <c r="D34" s="122"/>
      <c r="E34" s="147"/>
      <c r="F34" s="121"/>
      <c r="G34" s="122"/>
    </row>
    <row r="35" spans="1:7" ht="14.25" customHeight="1" x14ac:dyDescent="0.25">
      <c r="A35" s="126">
        <v>6</v>
      </c>
      <c r="B35" s="127" t="s">
        <v>117</v>
      </c>
      <c r="C35" s="126"/>
      <c r="D35" s="122"/>
      <c r="E35" s="118"/>
      <c r="F35" s="121"/>
      <c r="G35" s="122"/>
    </row>
    <row r="36" spans="1:7" ht="14.25" customHeight="1" x14ac:dyDescent="0.25">
      <c r="A36" s="126"/>
      <c r="B36" s="118" t="s">
        <v>118</v>
      </c>
      <c r="C36" s="151">
        <v>2.4E-2</v>
      </c>
      <c r="D36" s="218" t="s">
        <v>119</v>
      </c>
      <c r="E36" s="196">
        <v>142.52000000000001</v>
      </c>
      <c r="F36" s="121">
        <f>C36*$C$33*E36</f>
        <v>140.75275200000004</v>
      </c>
      <c r="G36" s="122" t="s">
        <v>103</v>
      </c>
    </row>
    <row r="37" spans="1:7" ht="14.25" customHeight="1" x14ac:dyDescent="0.25">
      <c r="A37" s="126"/>
      <c r="B37" s="118" t="s">
        <v>120</v>
      </c>
      <c r="C37" s="151">
        <v>3.0000000000000001E-3</v>
      </c>
      <c r="D37" s="219" t="s">
        <v>121</v>
      </c>
      <c r="E37" s="196">
        <v>88.65</v>
      </c>
      <c r="F37" s="121">
        <f>C37*$C$33*E37</f>
        <v>10.943842500000002</v>
      </c>
      <c r="G37" s="122" t="s">
        <v>103</v>
      </c>
    </row>
    <row r="38" spans="1:7" ht="14.25" customHeight="1" x14ac:dyDescent="0.25">
      <c r="A38" s="126"/>
      <c r="B38" s="118" t="s">
        <v>122</v>
      </c>
      <c r="C38" s="151">
        <v>1E-3</v>
      </c>
      <c r="D38" s="219" t="s">
        <v>121</v>
      </c>
      <c r="E38" s="196">
        <v>56.75</v>
      </c>
      <c r="F38" s="121">
        <f>C38*$C$33*E38</f>
        <v>2.3352625000000002</v>
      </c>
      <c r="G38" s="122" t="s">
        <v>103</v>
      </c>
    </row>
    <row r="39" spans="1:7" ht="14.25" customHeight="1" x14ac:dyDescent="0.25">
      <c r="A39" s="126"/>
      <c r="B39" s="118" t="s">
        <v>123</v>
      </c>
      <c r="C39" s="151">
        <v>2E-3</v>
      </c>
      <c r="D39" s="219" t="s">
        <v>121</v>
      </c>
      <c r="E39" s="196">
        <v>100.17</v>
      </c>
      <c r="F39" s="121">
        <f>C39*$C$33*E39</f>
        <v>8.2439910000000012</v>
      </c>
      <c r="G39" s="122" t="s">
        <v>103</v>
      </c>
    </row>
    <row r="40" spans="1:7" ht="14.25" customHeight="1" x14ac:dyDescent="0.25">
      <c r="A40" s="126"/>
      <c r="B40" s="118" t="s">
        <v>124</v>
      </c>
      <c r="C40" s="192"/>
      <c r="D40" s="191"/>
      <c r="E40" s="220"/>
      <c r="F40" s="130">
        <f>SUM(F36:F39)</f>
        <v>162.27584800000005</v>
      </c>
      <c r="G40" s="126" t="s">
        <v>103</v>
      </c>
    </row>
    <row r="41" spans="1:7" ht="14.25" customHeight="1" x14ac:dyDescent="0.25">
      <c r="A41" s="126"/>
      <c r="B41" s="118"/>
      <c r="C41" s="122"/>
      <c r="D41" s="122"/>
      <c r="E41" s="147"/>
      <c r="F41" s="121"/>
      <c r="G41" s="122"/>
    </row>
    <row r="42" spans="1:7" ht="14.25" customHeight="1" x14ac:dyDescent="0.25">
      <c r="A42" s="126">
        <v>7</v>
      </c>
      <c r="B42" s="127" t="s">
        <v>125</v>
      </c>
      <c r="C42" s="126"/>
      <c r="D42" s="126"/>
      <c r="E42" s="148">
        <v>0.62</v>
      </c>
      <c r="F42" s="130">
        <f>F22*E42</f>
        <v>82.502532000000002</v>
      </c>
      <c r="G42" s="126" t="s">
        <v>103</v>
      </c>
    </row>
    <row r="43" spans="1:7" ht="14.25" customHeight="1" x14ac:dyDescent="0.25">
      <c r="A43" s="122"/>
      <c r="B43" s="118"/>
      <c r="C43" s="122"/>
      <c r="D43" s="122"/>
      <c r="E43" s="147"/>
      <c r="F43" s="121"/>
      <c r="G43" s="122"/>
    </row>
    <row r="44" spans="1:7" ht="14.25" customHeight="1" x14ac:dyDescent="0.25">
      <c r="A44" s="126">
        <v>8</v>
      </c>
      <c r="B44" s="127" t="s">
        <v>126</v>
      </c>
      <c r="C44" s="126"/>
      <c r="D44" s="126"/>
      <c r="E44" s="148"/>
      <c r="F44" s="130">
        <f>F22+F24+F26+F28+F33+F40+F42</f>
        <v>2375.1461972000002</v>
      </c>
      <c r="G44" s="126" t="s">
        <v>103</v>
      </c>
    </row>
    <row r="45" spans="1:7" ht="14.25" customHeight="1" x14ac:dyDescent="0.25">
      <c r="A45" s="126"/>
      <c r="B45" s="127"/>
      <c r="C45" s="126"/>
      <c r="D45" s="126"/>
      <c r="E45" s="148"/>
      <c r="F45" s="130"/>
      <c r="G45" s="126"/>
    </row>
    <row r="46" spans="1:7" ht="14.25" customHeight="1" x14ac:dyDescent="0.25">
      <c r="A46" s="126">
        <v>9</v>
      </c>
      <c r="B46" s="127" t="s">
        <v>127</v>
      </c>
      <c r="C46" s="126"/>
      <c r="D46" s="126"/>
      <c r="E46" s="148"/>
      <c r="F46" s="130"/>
      <c r="G46" s="126"/>
    </row>
    <row r="47" spans="1:7" ht="14.25" customHeight="1" x14ac:dyDescent="0.25">
      <c r="A47" s="122"/>
      <c r="B47" s="118" t="s">
        <v>128</v>
      </c>
      <c r="C47" s="122"/>
      <c r="D47" s="122"/>
      <c r="E47" s="147">
        <v>0.1</v>
      </c>
      <c r="F47" s="121">
        <f>F44*E47</f>
        <v>237.51461972000004</v>
      </c>
      <c r="G47" s="122" t="s">
        <v>103</v>
      </c>
    </row>
    <row r="48" spans="1:7" ht="14.25" customHeight="1" x14ac:dyDescent="0.25">
      <c r="A48" s="122"/>
      <c r="B48" s="118" t="s">
        <v>129</v>
      </c>
      <c r="C48" s="122"/>
      <c r="D48" s="122"/>
      <c r="E48" s="147">
        <v>0.15</v>
      </c>
      <c r="F48" s="121">
        <f>F44*E48</f>
        <v>356.27192958000001</v>
      </c>
      <c r="G48" s="122" t="s">
        <v>103</v>
      </c>
    </row>
    <row r="49" spans="1:7" ht="14.25" customHeight="1" x14ac:dyDescent="0.25">
      <c r="A49" s="122"/>
      <c r="B49" s="118"/>
      <c r="C49" s="122"/>
      <c r="D49" s="122"/>
      <c r="E49" s="147"/>
      <c r="F49" s="121"/>
      <c r="G49" s="122"/>
    </row>
    <row r="50" spans="1:7" ht="14.25" customHeight="1" x14ac:dyDescent="0.25">
      <c r="A50" s="126">
        <v>10</v>
      </c>
      <c r="B50" s="127" t="s">
        <v>130</v>
      </c>
      <c r="C50" s="126"/>
      <c r="D50" s="126"/>
      <c r="E50" s="148"/>
      <c r="F50" s="130"/>
      <c r="G50" s="126"/>
    </row>
    <row r="51" spans="1:7" ht="14.25" customHeight="1" x14ac:dyDescent="0.25">
      <c r="A51" s="122"/>
      <c r="B51" s="118" t="s">
        <v>128</v>
      </c>
      <c r="C51" s="122"/>
      <c r="D51" s="122"/>
      <c r="E51" s="147"/>
      <c r="F51" s="130">
        <f>F44+F47</f>
        <v>2612.6608169200003</v>
      </c>
      <c r="G51" s="126" t="s">
        <v>103</v>
      </c>
    </row>
    <row r="52" spans="1:7" ht="14.25" customHeight="1" x14ac:dyDescent="0.25">
      <c r="A52" s="122"/>
      <c r="B52" s="118" t="s">
        <v>129</v>
      </c>
      <c r="C52" s="122"/>
      <c r="D52" s="122"/>
      <c r="E52" s="147"/>
      <c r="F52" s="130">
        <f>F44+F48</f>
        <v>2731.4181267800004</v>
      </c>
      <c r="G52" s="126" t="s">
        <v>103</v>
      </c>
    </row>
    <row r="53" spans="1:7" ht="12.75" customHeight="1" x14ac:dyDescent="0.25">
      <c r="A53" s="113"/>
      <c r="B53" s="113"/>
      <c r="C53" s="144"/>
      <c r="D53" s="144"/>
      <c r="E53" s="113"/>
      <c r="F53" s="117"/>
      <c r="G53" s="113"/>
    </row>
    <row r="54" spans="1:7" ht="5.25" customHeight="1" x14ac:dyDescent="0.25">
      <c r="A54" s="113"/>
      <c r="B54" s="113"/>
      <c r="C54" s="144"/>
      <c r="D54" s="144"/>
      <c r="E54" s="113"/>
      <c r="F54" s="117"/>
      <c r="G54" s="113"/>
    </row>
    <row r="55" spans="1:7" ht="14.25" customHeight="1" x14ac:dyDescent="0.25">
      <c r="A55" s="31"/>
      <c r="B55" s="90" t="s">
        <v>56</v>
      </c>
      <c r="C55" s="90"/>
      <c r="D55" s="90"/>
      <c r="E55" s="31"/>
      <c r="F55" s="67" t="s">
        <v>58</v>
      </c>
      <c r="G55" s="31"/>
    </row>
    <row r="56" spans="1:7" ht="14.25" customHeight="1" x14ac:dyDescent="0.25">
      <c r="A56" s="31"/>
      <c r="B56" s="91" t="s">
        <v>57</v>
      </c>
      <c r="C56" s="90"/>
      <c r="D56" s="90"/>
      <c r="E56" s="31"/>
      <c r="F56" s="42"/>
      <c r="G56" s="31"/>
    </row>
  </sheetData>
  <mergeCells count="9">
    <mergeCell ref="C31:D31"/>
    <mergeCell ref="C32:D32"/>
    <mergeCell ref="C33:D33"/>
    <mergeCell ref="A6:G6"/>
    <mergeCell ref="A7:G7"/>
    <mergeCell ref="A8:A9"/>
    <mergeCell ref="B8:E9"/>
    <mergeCell ref="F8:G8"/>
    <mergeCell ref="B10:D10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4"/>
  <sheetViews>
    <sheetView topLeftCell="A34" workbookViewId="0">
      <selection activeCell="I7" sqref="I7"/>
    </sheetView>
  </sheetViews>
  <sheetFormatPr defaultRowHeight="15" x14ac:dyDescent="0.25"/>
  <cols>
    <col min="1" max="1" width="5.85546875" customWidth="1"/>
    <col min="2" max="2" width="35.85546875" customWidth="1"/>
    <col min="3" max="3" width="12.140625" customWidth="1"/>
    <col min="4" max="4" width="16.42578125" customWidth="1"/>
    <col min="5" max="5" width="17.85546875" customWidth="1"/>
    <col min="6" max="7" width="0.28515625" customWidth="1"/>
  </cols>
  <sheetData>
    <row r="1" spans="1:7" ht="15.75" x14ac:dyDescent="0.25">
      <c r="A1" s="45"/>
      <c r="B1" s="46"/>
      <c r="C1" s="45"/>
      <c r="D1" s="344" t="s">
        <v>60</v>
      </c>
      <c r="E1" s="345"/>
      <c r="F1" s="45"/>
      <c r="G1" s="47"/>
    </row>
    <row r="2" spans="1:7" ht="15.75" x14ac:dyDescent="0.25">
      <c r="A2" s="45"/>
      <c r="B2" s="46"/>
      <c r="C2" s="346" t="s">
        <v>61</v>
      </c>
      <c r="D2" s="347"/>
      <c r="E2" s="347"/>
      <c r="F2" s="45"/>
      <c r="G2" s="47"/>
    </row>
    <row r="3" spans="1:7" ht="15.75" x14ac:dyDescent="0.25">
      <c r="A3" s="45"/>
      <c r="B3" s="46"/>
      <c r="C3" s="45"/>
      <c r="D3" s="344" t="s">
        <v>411</v>
      </c>
      <c r="E3" s="344"/>
      <c r="F3" s="45"/>
      <c r="G3" s="47"/>
    </row>
    <row r="4" spans="1:7" ht="15.75" x14ac:dyDescent="0.25">
      <c r="A4" s="45"/>
      <c r="B4" s="46"/>
      <c r="C4" s="45"/>
      <c r="D4" s="344" t="s">
        <v>410</v>
      </c>
      <c r="E4" s="344"/>
      <c r="F4" s="45"/>
      <c r="G4" s="47"/>
    </row>
    <row r="5" spans="1:7" ht="18.75" x14ac:dyDescent="0.25">
      <c r="A5" s="348" t="s">
        <v>62</v>
      </c>
      <c r="B5" s="348"/>
      <c r="C5" s="348"/>
      <c r="D5" s="348"/>
      <c r="E5" s="348"/>
      <c r="F5" s="48"/>
      <c r="G5" s="49"/>
    </row>
    <row r="6" spans="1:7" ht="19.5" thickBot="1" x14ac:dyDescent="0.3">
      <c r="A6" s="348" t="s">
        <v>451</v>
      </c>
      <c r="B6" s="348"/>
      <c r="C6" s="348"/>
      <c r="D6" s="348"/>
      <c r="E6" s="348"/>
      <c r="F6" s="48"/>
      <c r="G6" s="49"/>
    </row>
    <row r="7" spans="1:7" ht="57" customHeight="1" thickBot="1" x14ac:dyDescent="0.3">
      <c r="A7" s="342" t="s">
        <v>14</v>
      </c>
      <c r="B7" s="342" t="s">
        <v>63</v>
      </c>
      <c r="C7" s="342" t="s">
        <v>64</v>
      </c>
      <c r="D7" s="314" t="s">
        <v>65</v>
      </c>
      <c r="E7" s="315" t="s">
        <v>66</v>
      </c>
      <c r="F7" s="48" t="s">
        <v>409</v>
      </c>
      <c r="G7" s="49" t="s">
        <v>67</v>
      </c>
    </row>
    <row r="8" spans="1:7" ht="16.5" thickBot="1" x14ac:dyDescent="0.3">
      <c r="A8" s="343"/>
      <c r="B8" s="343"/>
      <c r="C8" s="343"/>
      <c r="D8" s="50" t="s">
        <v>68</v>
      </c>
      <c r="E8" s="50" t="s">
        <v>68</v>
      </c>
      <c r="F8" s="48"/>
      <c r="G8" s="49"/>
    </row>
    <row r="9" spans="1:7" ht="15" customHeight="1" thickBot="1" x14ac:dyDescent="0.3">
      <c r="A9" s="51">
        <v>1</v>
      </c>
      <c r="B9" s="52" t="s">
        <v>21</v>
      </c>
      <c r="C9" s="50" t="s">
        <v>69</v>
      </c>
      <c r="D9" s="53">
        <f>'ГАЗ 3307 фургон'!F49</f>
        <v>971.81991885000014</v>
      </c>
      <c r="E9" s="53">
        <f>'ГАЗ 3307 фургон'!F50</f>
        <v>1015.9935515250002</v>
      </c>
      <c r="F9" s="48">
        <v>642.5</v>
      </c>
      <c r="G9" s="54">
        <f>D9/F9*100</f>
        <v>151.25601849805449</v>
      </c>
    </row>
    <row r="10" spans="1:7" ht="15" customHeight="1" thickBot="1" x14ac:dyDescent="0.3">
      <c r="A10" s="51">
        <v>2</v>
      </c>
      <c r="B10" s="52" t="s">
        <v>22</v>
      </c>
      <c r="C10" s="50" t="s">
        <v>69</v>
      </c>
      <c r="D10" s="53">
        <f>'ГАЗ 430100'!F47</f>
        <v>775.01922987500018</v>
      </c>
      <c r="E10" s="53">
        <f>'ГАЗ 430100'!F48</f>
        <v>810.24737668750015</v>
      </c>
      <c r="F10" s="48">
        <v>629.6</v>
      </c>
      <c r="G10" s="54">
        <f>D10/F10*100</f>
        <v>123.09708225460612</v>
      </c>
    </row>
    <row r="11" spans="1:7" ht="15" customHeight="1" thickBot="1" x14ac:dyDescent="0.3">
      <c r="A11" s="51">
        <v>3</v>
      </c>
      <c r="B11" s="52" t="s">
        <v>23</v>
      </c>
      <c r="C11" s="50" t="s">
        <v>69</v>
      </c>
      <c r="D11" s="53">
        <f>УАЗ!F47</f>
        <v>756.3624711182207</v>
      </c>
      <c r="E11" s="53">
        <f>УАЗ!F48</f>
        <v>790.74258344177622</v>
      </c>
      <c r="F11" s="48">
        <v>660.52</v>
      </c>
      <c r="G11" s="54">
        <f>D11/F11*100</f>
        <v>114.51015429028956</v>
      </c>
    </row>
    <row r="12" spans="1:7" ht="15" customHeight="1" thickBot="1" x14ac:dyDescent="0.3">
      <c r="A12" s="51">
        <v>4</v>
      </c>
      <c r="B12" s="52" t="s">
        <v>24</v>
      </c>
      <c r="C12" s="50" t="s">
        <v>69</v>
      </c>
      <c r="D12" s="53">
        <f>Нива!F48</f>
        <v>605.1372559926516</v>
      </c>
      <c r="E12" s="53">
        <f>Нива!F49</f>
        <v>632.64349490140853</v>
      </c>
      <c r="F12" s="48">
        <v>548.95000000000005</v>
      </c>
      <c r="G12" s="54">
        <f>D12/F12*100</f>
        <v>110.23540504465828</v>
      </c>
    </row>
    <row r="13" spans="1:7" ht="15" customHeight="1" thickBot="1" x14ac:dyDescent="0.3">
      <c r="A13" s="51">
        <v>5</v>
      </c>
      <c r="B13" s="52" t="s">
        <v>25</v>
      </c>
      <c r="C13" s="50" t="s">
        <v>69</v>
      </c>
      <c r="D13" s="53">
        <f>'МАЗ-5551'!F49</f>
        <v>1330.6907548000001</v>
      </c>
      <c r="E13" s="53">
        <f>'МАЗ-5551'!F50</f>
        <v>1391.1766982000001</v>
      </c>
      <c r="F13" s="48">
        <v>1064.9000000000001</v>
      </c>
      <c r="G13" s="54">
        <f>D13/F13*100</f>
        <v>124.95922197389426</v>
      </c>
    </row>
    <row r="14" spans="1:7" ht="15" customHeight="1" thickBot="1" x14ac:dyDescent="0.3">
      <c r="A14" s="51">
        <v>6</v>
      </c>
      <c r="B14" s="52" t="s">
        <v>45</v>
      </c>
      <c r="C14" s="50"/>
      <c r="D14" s="53"/>
      <c r="E14" s="53"/>
      <c r="F14" s="48"/>
      <c r="G14" s="54"/>
    </row>
    <row r="15" spans="1:7" ht="15" customHeight="1" thickBot="1" x14ac:dyDescent="0.3">
      <c r="A15" s="51"/>
      <c r="B15" s="52" t="s">
        <v>70</v>
      </c>
      <c r="C15" s="50" t="s">
        <v>71</v>
      </c>
      <c r="D15" s="53">
        <f>'УРАЛ-5557'!F45</f>
        <v>38.927585902338436</v>
      </c>
      <c r="E15" s="53">
        <f>'УРАЛ-5557'!F46</f>
        <v>40.697021625171999</v>
      </c>
      <c r="F15" s="48">
        <v>35.56</v>
      </c>
      <c r="G15" s="54">
        <f t="shared" ref="G15:G20" si="0">D15/F15*100</f>
        <v>109.47015158137916</v>
      </c>
    </row>
    <row r="16" spans="1:7" ht="15" customHeight="1" thickBot="1" x14ac:dyDescent="0.3">
      <c r="A16" s="51"/>
      <c r="B16" s="52" t="s">
        <v>72</v>
      </c>
      <c r="C16" s="50" t="s">
        <v>69</v>
      </c>
      <c r="D16" s="53">
        <f>'УРАЛ-5557'!H45</f>
        <v>1116.9963400935371</v>
      </c>
      <c r="E16" s="53">
        <f>'УРАЛ-5557'!H46</f>
        <v>1167.7689010068798</v>
      </c>
      <c r="F16" s="48">
        <v>1018.84</v>
      </c>
      <c r="G16" s="54">
        <f t="shared" si="0"/>
        <v>109.63412705562573</v>
      </c>
    </row>
    <row r="17" spans="1:7" ht="15" customHeight="1" thickBot="1" x14ac:dyDescent="0.3">
      <c r="A17" s="51">
        <v>7</v>
      </c>
      <c r="B17" s="52" t="s">
        <v>27</v>
      </c>
      <c r="C17" s="50" t="s">
        <v>69</v>
      </c>
      <c r="D17" s="53">
        <f>'ГАЗ-3307 АСМ'!F50</f>
        <v>873.46872601999996</v>
      </c>
      <c r="E17" s="53">
        <f>'ГАЗ-3307 АСМ'!F51</f>
        <v>913.17184993000001</v>
      </c>
      <c r="F17" s="48">
        <v>841.63</v>
      </c>
      <c r="G17" s="49">
        <f t="shared" si="0"/>
        <v>103.78298373632117</v>
      </c>
    </row>
    <row r="18" spans="1:7" ht="15" customHeight="1" thickBot="1" x14ac:dyDescent="0.3">
      <c r="A18" s="51">
        <v>8</v>
      </c>
      <c r="B18" s="52" t="s">
        <v>28</v>
      </c>
      <c r="C18" s="50" t="s">
        <v>69</v>
      </c>
      <c r="D18" s="53">
        <f>'ГАЗ 3309'!F50</f>
        <v>979.3777655121645</v>
      </c>
      <c r="E18" s="53">
        <f>'ГАЗ 3309'!F51</f>
        <v>1023.8949366718083</v>
      </c>
      <c r="F18" s="48">
        <v>851.76</v>
      </c>
      <c r="G18" s="54">
        <f t="shared" si="0"/>
        <v>114.98283149151926</v>
      </c>
    </row>
    <row r="19" spans="1:7" ht="30" customHeight="1" thickBot="1" x14ac:dyDescent="0.3">
      <c r="A19" s="51">
        <v>9</v>
      </c>
      <c r="B19" s="55" t="s">
        <v>73</v>
      </c>
      <c r="C19" s="50" t="s">
        <v>69</v>
      </c>
      <c r="D19" s="53">
        <f>'КО-502 +слесари'!F61</f>
        <v>3172.80122764</v>
      </c>
      <c r="E19" s="53">
        <f>'КО-502 +слесари'!F62</f>
        <v>3317.0194652599998</v>
      </c>
      <c r="F19" s="48">
        <v>2809.71</v>
      </c>
      <c r="G19" s="54">
        <f t="shared" si="0"/>
        <v>112.9227296639155</v>
      </c>
    </row>
    <row r="20" spans="1:7" ht="29.25" customHeight="1" thickBot="1" x14ac:dyDescent="0.3">
      <c r="A20" s="51">
        <v>10</v>
      </c>
      <c r="B20" s="55" t="s">
        <v>74</v>
      </c>
      <c r="C20" s="50" t="s">
        <v>75</v>
      </c>
      <c r="D20" s="53">
        <f>'КО-502Б-2'!F51</f>
        <v>2612.6608169200003</v>
      </c>
      <c r="E20" s="53">
        <f>'КО-502Б-2'!F52</f>
        <v>2731.4181267800004</v>
      </c>
      <c r="F20" s="48">
        <v>2386.5500000000002</v>
      </c>
      <c r="G20" s="54">
        <f t="shared" si="0"/>
        <v>109.47438004315855</v>
      </c>
    </row>
    <row r="21" spans="1:7" ht="15" customHeight="1" thickBot="1" x14ac:dyDescent="0.3">
      <c r="A21" s="51">
        <v>11</v>
      </c>
      <c r="B21" s="52" t="s">
        <v>76</v>
      </c>
      <c r="C21" s="50"/>
      <c r="D21" s="53"/>
      <c r="E21" s="53"/>
      <c r="F21" s="48"/>
      <c r="G21" s="54"/>
    </row>
    <row r="22" spans="1:7" ht="14.25" customHeight="1" thickBot="1" x14ac:dyDescent="0.3">
      <c r="A22" s="56"/>
      <c r="B22" s="57" t="s">
        <v>77</v>
      </c>
      <c r="C22" s="50" t="s">
        <v>78</v>
      </c>
      <c r="D22" s="53">
        <f>Снегоуборочная!H36</f>
        <v>81.373766068571413</v>
      </c>
      <c r="E22" s="58">
        <f>Снегоуборочная!H37</f>
        <v>85.072573617142837</v>
      </c>
      <c r="F22" s="48">
        <v>49.55</v>
      </c>
      <c r="G22" s="54">
        <f>D22/F22*100</f>
        <v>164.22556219691506</v>
      </c>
    </row>
    <row r="23" spans="1:7" ht="14.25" customHeight="1" thickBot="1" x14ac:dyDescent="0.3">
      <c r="A23" s="56"/>
      <c r="B23" s="57" t="s">
        <v>79</v>
      </c>
      <c r="C23" s="50" t="s">
        <v>78</v>
      </c>
      <c r="D23" s="53">
        <f>Снегоуборочная!I36</f>
        <v>112.50255100528825</v>
      </c>
      <c r="E23" s="53">
        <f>Снегоуборочная!I37</f>
        <v>117.61630332371044</v>
      </c>
      <c r="F23" s="48">
        <v>73.38</v>
      </c>
      <c r="G23" s="54">
        <f>D23/F23*100</f>
        <v>153.31500545828328</v>
      </c>
    </row>
    <row r="24" spans="1:7" ht="14.25" customHeight="1" thickBot="1" x14ac:dyDescent="0.3">
      <c r="A24" s="56"/>
      <c r="B24" s="57" t="s">
        <v>80</v>
      </c>
      <c r="C24" s="50" t="s">
        <v>78</v>
      </c>
      <c r="D24" s="53">
        <f>Снегоуборочная!J36</f>
        <v>112.50255100528825</v>
      </c>
      <c r="E24" s="53">
        <f>Снегоуборочная!J37</f>
        <v>117.61630332371044</v>
      </c>
      <c r="F24" s="48"/>
      <c r="G24" s="54"/>
    </row>
    <row r="25" spans="1:7" ht="14.25" customHeight="1" thickBot="1" x14ac:dyDescent="0.3">
      <c r="A25" s="56"/>
      <c r="B25" s="57" t="s">
        <v>81</v>
      </c>
      <c r="C25" s="50" t="s">
        <v>78</v>
      </c>
      <c r="D25" s="53">
        <f>Снегоуборочная!K36</f>
        <v>118.24242646528828</v>
      </c>
      <c r="E25" s="53">
        <f>Снегоуборочная!K37</f>
        <v>123.61708221371048</v>
      </c>
      <c r="F25" s="48">
        <v>78.67</v>
      </c>
      <c r="G25" s="54">
        <f>D25/F25*100</f>
        <v>150.30180051517513</v>
      </c>
    </row>
    <row r="26" spans="1:7" ht="14.25" customHeight="1" thickBot="1" x14ac:dyDescent="0.3">
      <c r="A26" s="56"/>
      <c r="B26" s="57" t="s">
        <v>82</v>
      </c>
      <c r="C26" s="50" t="s">
        <v>78</v>
      </c>
      <c r="D26" s="53">
        <f>Снегоуборочная!L36</f>
        <v>118.24242646528825</v>
      </c>
      <c r="E26" s="53">
        <f>Снегоуборочная!L37</f>
        <v>123.61708221371043</v>
      </c>
      <c r="F26" s="48"/>
      <c r="G26" s="54"/>
    </row>
    <row r="27" spans="1:7" ht="32.25" customHeight="1" thickBot="1" x14ac:dyDescent="0.3">
      <c r="A27" s="56"/>
      <c r="B27" s="57" t="s">
        <v>83</v>
      </c>
      <c r="C27" s="50"/>
      <c r="D27" s="53"/>
      <c r="E27" s="53"/>
      <c r="F27" s="48"/>
      <c r="G27" s="54"/>
    </row>
    <row r="28" spans="1:7" ht="14.25" customHeight="1" thickBot="1" x14ac:dyDescent="0.3">
      <c r="A28" s="56"/>
      <c r="B28" s="57" t="s">
        <v>84</v>
      </c>
      <c r="C28" s="50" t="s">
        <v>85</v>
      </c>
      <c r="D28" s="53">
        <f>Снегоуборочная!M36</f>
        <v>236.83097055509609</v>
      </c>
      <c r="E28" s="53">
        <f>Снегоуборочная!M37</f>
        <v>247.59601467123682</v>
      </c>
      <c r="F28" s="48">
        <v>206.34</v>
      </c>
      <c r="G28" s="54">
        <f>D28/F28*100</f>
        <v>114.77705270674426</v>
      </c>
    </row>
    <row r="29" spans="1:7" ht="14.25" customHeight="1" thickBot="1" x14ac:dyDescent="0.3">
      <c r="A29" s="56"/>
      <c r="B29" s="57" t="s">
        <v>86</v>
      </c>
      <c r="C29" s="50" t="s">
        <v>85</v>
      </c>
      <c r="D29" s="53">
        <f>Снегоуборочная!N36</f>
        <v>339.1309705550961</v>
      </c>
      <c r="E29" s="53">
        <f>Снегоуборочная!N37</f>
        <v>354.54601467123683</v>
      </c>
      <c r="F29" s="48">
        <v>273.66000000000003</v>
      </c>
      <c r="G29" s="54">
        <f>D29/F29*100</f>
        <v>123.92420176682602</v>
      </c>
    </row>
    <row r="30" spans="1:7" ht="14.25" customHeight="1" thickBot="1" x14ac:dyDescent="0.3">
      <c r="A30" s="56"/>
      <c r="B30" s="57" t="s">
        <v>87</v>
      </c>
      <c r="C30" s="50" t="s">
        <v>85</v>
      </c>
      <c r="D30" s="53">
        <f>Снегоуборочная!O36</f>
        <v>125.87624717009608</v>
      </c>
      <c r="E30" s="53">
        <f>Снегоуборочная!O37</f>
        <v>131.59789476873681</v>
      </c>
      <c r="F30" s="48">
        <v>105.31</v>
      </c>
      <c r="G30" s="54">
        <f>D30/F30*100</f>
        <v>119.52924429787872</v>
      </c>
    </row>
    <row r="31" spans="1:7" ht="14.25" customHeight="1" thickBot="1" x14ac:dyDescent="0.3">
      <c r="A31" s="56"/>
      <c r="B31" s="57" t="s">
        <v>88</v>
      </c>
      <c r="C31" s="50" t="s">
        <v>85</v>
      </c>
      <c r="D31" s="53">
        <f>Снегоуборочная!P36</f>
        <v>183.67121643509608</v>
      </c>
      <c r="E31" s="53">
        <f>Снегоуборочная!P37</f>
        <v>192.01990809123683</v>
      </c>
      <c r="F31" s="48">
        <v>163.61000000000001</v>
      </c>
      <c r="G31" s="54">
        <f>D31/F31*100</f>
        <v>112.2616077471402</v>
      </c>
    </row>
    <row r="32" spans="1:7" ht="14.25" customHeight="1" thickBot="1" x14ac:dyDescent="0.3">
      <c r="A32" s="56"/>
      <c r="B32" s="57" t="s">
        <v>89</v>
      </c>
      <c r="C32" s="50" t="s">
        <v>85</v>
      </c>
      <c r="D32" s="53">
        <f>Снегоуборочная!Q36</f>
        <v>115.4712164350961</v>
      </c>
      <c r="E32" s="53">
        <f>Снегоуборочная!Q37</f>
        <v>120.71990809123682</v>
      </c>
      <c r="F32" s="48">
        <v>92.99</v>
      </c>
      <c r="G32" s="54">
        <f>D32/F32*100</f>
        <v>124.1759505700571</v>
      </c>
    </row>
    <row r="33" spans="1:7" ht="14.25" customHeight="1" thickBot="1" x14ac:dyDescent="0.3">
      <c r="A33" s="56"/>
      <c r="B33" s="57" t="s">
        <v>90</v>
      </c>
      <c r="C33" s="50" t="s">
        <v>78</v>
      </c>
      <c r="D33" s="53">
        <f>'Полив дневной '!H34</f>
        <v>77.145805188571416</v>
      </c>
      <c r="E33" s="53">
        <f>'Полив дневной '!H35</f>
        <v>80.662432697142847</v>
      </c>
      <c r="F33" s="48">
        <v>49.55</v>
      </c>
      <c r="G33" s="54">
        <f t="shared" ref="G33:G42" si="1">D33/F33*100</f>
        <v>155.6928459910624</v>
      </c>
    </row>
    <row r="34" spans="1:7" ht="14.25" customHeight="1" thickBot="1" x14ac:dyDescent="0.3">
      <c r="A34" s="56"/>
      <c r="B34" s="57" t="s">
        <v>91</v>
      </c>
      <c r="C34" s="50" t="s">
        <v>75</v>
      </c>
      <c r="D34" s="53">
        <f>'Полив дневной '!I34</f>
        <v>1241.7598599999999</v>
      </c>
      <c r="E34" s="53">
        <f>'Полив дневной '!I35</f>
        <v>1298.2034899999999</v>
      </c>
      <c r="F34" s="48">
        <v>851.34</v>
      </c>
      <c r="G34" s="54">
        <f t="shared" si="1"/>
        <v>145.8594521577748</v>
      </c>
    </row>
    <row r="35" spans="1:7" ht="14.25" customHeight="1" thickBot="1" x14ac:dyDescent="0.3">
      <c r="A35" s="56"/>
      <c r="B35" s="57" t="s">
        <v>92</v>
      </c>
      <c r="C35" s="50" t="s">
        <v>78</v>
      </c>
      <c r="D35" s="53">
        <f>'Полив ночной'!H34</f>
        <v>85.928272348145413</v>
      </c>
      <c r="E35" s="53">
        <f>'Полив ночной'!H35</f>
        <v>89.844102909424748</v>
      </c>
      <c r="F35" s="48">
        <v>52.17</v>
      </c>
      <c r="G35" s="54">
        <f t="shared" si="1"/>
        <v>164.7082084495791</v>
      </c>
    </row>
    <row r="36" spans="1:7" ht="14.25" customHeight="1" thickBot="1" x14ac:dyDescent="0.3">
      <c r="A36" s="56"/>
      <c r="B36" s="57" t="s">
        <v>93</v>
      </c>
      <c r="C36" s="50" t="s">
        <v>75</v>
      </c>
      <c r="D36" s="53">
        <f>'Полив ночной'!I34</f>
        <v>1383.4662244528827</v>
      </c>
      <c r="E36" s="53">
        <f>'Полив ночной'!I35</f>
        <v>1446.3510528371046</v>
      </c>
      <c r="F36" s="48">
        <v>914.18</v>
      </c>
      <c r="G36" s="54">
        <f t="shared" si="1"/>
        <v>151.33411630673203</v>
      </c>
    </row>
    <row r="37" spans="1:7" ht="16.5" thickBot="1" x14ac:dyDescent="0.3">
      <c r="A37" s="51">
        <v>12</v>
      </c>
      <c r="B37" s="52" t="s">
        <v>94</v>
      </c>
      <c r="C37" s="50" t="s">
        <v>69</v>
      </c>
      <c r="D37" s="53">
        <f>'МТЗ-80 с тележкой'!F47</f>
        <v>808.18893539999999</v>
      </c>
      <c r="E37" s="53">
        <f>'МТЗ-80 с тележкой'!F48</f>
        <v>844.92479609999998</v>
      </c>
      <c r="F37" s="48">
        <v>774.25</v>
      </c>
      <c r="G37" s="54">
        <f t="shared" si="1"/>
        <v>104.38345952857604</v>
      </c>
    </row>
    <row r="38" spans="1:7" ht="16.5" thickBot="1" x14ac:dyDescent="0.3">
      <c r="A38" s="51">
        <v>13</v>
      </c>
      <c r="B38" s="52" t="s">
        <v>95</v>
      </c>
      <c r="C38" s="50" t="s">
        <v>75</v>
      </c>
      <c r="D38" s="53">
        <f>'МТЗ-80 покос'!F52</f>
        <v>1631.4971354000002</v>
      </c>
      <c r="E38" s="53">
        <f>'МТЗ-80 покос'!F53</f>
        <v>1705.6560961000002</v>
      </c>
      <c r="F38" s="48">
        <v>1300.42</v>
      </c>
      <c r="G38" s="49">
        <f t="shared" si="1"/>
        <v>125.45924665877179</v>
      </c>
    </row>
    <row r="39" spans="1:7" ht="15" customHeight="1" thickBot="1" x14ac:dyDescent="0.3">
      <c r="A39" s="51">
        <v>14</v>
      </c>
      <c r="B39" s="52" t="s">
        <v>47</v>
      </c>
      <c r="C39" s="50" t="s">
        <v>69</v>
      </c>
      <c r="D39" s="53">
        <f>'ЭО 2626'!F47</f>
        <v>1088.0984802599999</v>
      </c>
      <c r="E39" s="53">
        <f>'ЭО 2626'!F48</f>
        <v>1137.5575020899998</v>
      </c>
      <c r="F39" s="48">
        <v>957.97</v>
      </c>
      <c r="G39" s="54">
        <f t="shared" si="1"/>
        <v>113.58377404929172</v>
      </c>
    </row>
    <row r="40" spans="1:7" ht="15" customHeight="1" x14ac:dyDescent="0.25">
      <c r="A40" s="59">
        <v>15</v>
      </c>
      <c r="B40" s="60" t="s">
        <v>96</v>
      </c>
      <c r="C40" s="61" t="s">
        <v>69</v>
      </c>
      <c r="D40" s="62">
        <f>САГ!F32</f>
        <v>179.17685499999999</v>
      </c>
      <c r="E40" s="62">
        <f>САГ!F33</f>
        <v>187.3212575</v>
      </c>
      <c r="F40" s="48">
        <v>163.19</v>
      </c>
      <c r="G40" s="54">
        <f t="shared" si="1"/>
        <v>109.79646730804585</v>
      </c>
    </row>
    <row r="41" spans="1:7" ht="15" customHeight="1" x14ac:dyDescent="0.25">
      <c r="A41" s="59">
        <v>16</v>
      </c>
      <c r="B41" s="60" t="s">
        <v>391</v>
      </c>
      <c r="C41" s="61" t="s">
        <v>69</v>
      </c>
      <c r="D41" s="62">
        <f>'Автогрейдер ДЗ-180'!F47</f>
        <v>1787.6376736296745</v>
      </c>
      <c r="E41" s="62">
        <f>'Автогрейдер ДЗ-180'!F48</f>
        <v>1868.8939315219322</v>
      </c>
      <c r="F41" s="48">
        <v>813.57</v>
      </c>
      <c r="G41" s="54">
        <f t="shared" si="1"/>
        <v>219.72758012582497</v>
      </c>
    </row>
    <row r="42" spans="1:7" ht="15" customHeight="1" x14ac:dyDescent="0.25">
      <c r="A42" s="59">
        <v>17</v>
      </c>
      <c r="B42" s="60" t="s">
        <v>97</v>
      </c>
      <c r="C42" s="61" t="s">
        <v>69</v>
      </c>
      <c r="D42" s="62">
        <v>867.03</v>
      </c>
      <c r="E42" s="62">
        <v>906.44</v>
      </c>
      <c r="F42" s="48">
        <v>758.51</v>
      </c>
      <c r="G42" s="54">
        <f t="shared" si="1"/>
        <v>114.30699661177835</v>
      </c>
    </row>
    <row r="43" spans="1:7" ht="15.75" x14ac:dyDescent="0.25">
      <c r="A43" s="63"/>
      <c r="B43" s="64"/>
      <c r="C43" s="65"/>
      <c r="D43" s="66"/>
      <c r="E43" s="66"/>
      <c r="F43" s="48"/>
      <c r="G43" s="54"/>
    </row>
    <row r="44" spans="1:7" ht="15.75" x14ac:dyDescent="0.25">
      <c r="A44" s="48"/>
      <c r="B44" s="44" t="s">
        <v>56</v>
      </c>
      <c r="C44" s="44"/>
      <c r="D44" s="44"/>
      <c r="E44" s="67" t="s">
        <v>58</v>
      </c>
      <c r="F44" s="48"/>
      <c r="G44" s="49"/>
    </row>
  </sheetData>
  <mergeCells count="9">
    <mergeCell ref="A7:A8"/>
    <mergeCell ref="B7:B8"/>
    <mergeCell ref="C7:C8"/>
    <mergeCell ref="D1:E1"/>
    <mergeCell ref="C2:E2"/>
    <mergeCell ref="D3:E3"/>
    <mergeCell ref="D4:E4"/>
    <mergeCell ref="A5:E5"/>
    <mergeCell ref="A6:E6"/>
  </mergeCells>
  <pageMargins left="0.25" right="0.25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65"/>
  <sheetViews>
    <sheetView workbookViewId="0">
      <selection activeCell="K20" sqref="K20"/>
    </sheetView>
  </sheetViews>
  <sheetFormatPr defaultRowHeight="15" x14ac:dyDescent="0.25"/>
  <cols>
    <col min="1" max="1" width="5" customWidth="1"/>
    <col min="2" max="2" width="30.28515625" customWidth="1"/>
    <col min="3" max="3" width="10.140625" customWidth="1"/>
    <col min="4" max="4" width="14.140625" customWidth="1"/>
    <col min="5" max="5" width="9.85546875" customWidth="1"/>
    <col min="6" max="6" width="17.85546875" customWidth="1"/>
    <col min="7" max="7" width="11" customWidth="1"/>
  </cols>
  <sheetData>
    <row r="1" spans="1:7" ht="13.5" customHeight="1" x14ac:dyDescent="0.25">
      <c r="A1" s="113"/>
      <c r="B1" s="113"/>
      <c r="C1" s="144"/>
      <c r="D1" s="144"/>
      <c r="E1" s="113"/>
      <c r="F1" s="113"/>
      <c r="G1" s="115" t="s">
        <v>167</v>
      </c>
    </row>
    <row r="2" spans="1:7" ht="13.5" customHeight="1" x14ac:dyDescent="0.25">
      <c r="A2" s="113"/>
      <c r="B2" s="113"/>
      <c r="C2" s="144"/>
      <c r="D2" s="144"/>
      <c r="E2" s="113"/>
      <c r="F2" s="113"/>
      <c r="G2" s="115" t="s">
        <v>61</v>
      </c>
    </row>
    <row r="3" spans="1:7" ht="13.5" customHeight="1" x14ac:dyDescent="0.25">
      <c r="A3" s="113"/>
      <c r="B3" s="113"/>
      <c r="C3" s="144"/>
      <c r="D3" s="144"/>
      <c r="E3" s="113"/>
      <c r="F3" s="113"/>
      <c r="G3" s="115" t="s">
        <v>414</v>
      </c>
    </row>
    <row r="4" spans="1:7" ht="13.5" customHeight="1" x14ac:dyDescent="0.25">
      <c r="A4" s="113"/>
      <c r="B4" s="113"/>
      <c r="C4" s="144"/>
      <c r="D4" s="144"/>
      <c r="E4" s="113"/>
      <c r="F4" s="113"/>
      <c r="G4" s="115" t="s">
        <v>423</v>
      </c>
    </row>
    <row r="5" spans="1:7" ht="13.5" customHeight="1" x14ac:dyDescent="0.25">
      <c r="A5" s="113"/>
      <c r="B5" s="113"/>
      <c r="C5" s="144"/>
      <c r="D5" s="144"/>
      <c r="E5" s="113"/>
      <c r="F5" s="117"/>
      <c r="G5" s="113"/>
    </row>
    <row r="6" spans="1:7" ht="13.5" customHeight="1" x14ac:dyDescent="0.25">
      <c r="A6" s="394" t="s">
        <v>98</v>
      </c>
      <c r="B6" s="394"/>
      <c r="C6" s="394"/>
      <c r="D6" s="394"/>
      <c r="E6" s="394"/>
      <c r="F6" s="394"/>
      <c r="G6" s="394"/>
    </row>
    <row r="7" spans="1:7" ht="13.5" customHeight="1" x14ac:dyDescent="0.25">
      <c r="A7" s="394" t="s">
        <v>230</v>
      </c>
      <c r="B7" s="394"/>
      <c r="C7" s="394"/>
      <c r="D7" s="394"/>
      <c r="E7" s="394"/>
      <c r="F7" s="394"/>
      <c r="G7" s="394"/>
    </row>
    <row r="8" spans="1:7" ht="13.5" customHeight="1" x14ac:dyDescent="0.25">
      <c r="A8" s="350" t="s">
        <v>14</v>
      </c>
      <c r="B8" s="388" t="s">
        <v>100</v>
      </c>
      <c r="C8" s="389"/>
      <c r="D8" s="389"/>
      <c r="E8" s="390"/>
      <c r="F8" s="354" t="s">
        <v>101</v>
      </c>
      <c r="G8" s="354"/>
    </row>
    <row r="9" spans="1:7" ht="13.5" customHeight="1" x14ac:dyDescent="0.25">
      <c r="A9" s="351"/>
      <c r="B9" s="391"/>
      <c r="C9" s="392"/>
      <c r="D9" s="392"/>
      <c r="E9" s="393"/>
      <c r="F9" s="70" t="s">
        <v>102</v>
      </c>
      <c r="G9" s="97" t="s">
        <v>64</v>
      </c>
    </row>
    <row r="10" spans="1:7" ht="13.5" customHeight="1" x14ac:dyDescent="0.25">
      <c r="A10" s="118"/>
      <c r="B10" s="383" t="s">
        <v>131</v>
      </c>
      <c r="C10" s="384"/>
      <c r="D10" s="385"/>
      <c r="E10" s="118"/>
      <c r="F10" s="121">
        <v>74.34</v>
      </c>
      <c r="G10" s="122" t="s">
        <v>103</v>
      </c>
    </row>
    <row r="11" spans="1:7" ht="3" customHeight="1" x14ac:dyDescent="0.25">
      <c r="A11" s="118"/>
      <c r="B11" s="118"/>
      <c r="C11" s="122"/>
      <c r="D11" s="122"/>
      <c r="E11" s="118"/>
      <c r="F11" s="121"/>
      <c r="G11" s="122"/>
    </row>
    <row r="12" spans="1:7" ht="13.5" customHeight="1" x14ac:dyDescent="0.25">
      <c r="A12" s="118"/>
      <c r="B12" s="118" t="s">
        <v>104</v>
      </c>
      <c r="C12" s="122"/>
      <c r="D12" s="122"/>
      <c r="E12" s="147">
        <v>0.25</v>
      </c>
      <c r="F12" s="121">
        <f>F10*E12</f>
        <v>18.585000000000001</v>
      </c>
      <c r="G12" s="122" t="s">
        <v>103</v>
      </c>
    </row>
    <row r="13" spans="1:7" ht="3" customHeight="1" x14ac:dyDescent="0.25">
      <c r="A13" s="118"/>
      <c r="B13" s="118"/>
      <c r="C13" s="122"/>
      <c r="D13" s="122"/>
      <c r="E13" s="118"/>
      <c r="F13" s="121"/>
      <c r="G13" s="122"/>
    </row>
    <row r="14" spans="1:7" ht="13.5" customHeight="1" x14ac:dyDescent="0.25">
      <c r="A14" s="118"/>
      <c r="B14" s="118" t="s">
        <v>105</v>
      </c>
      <c r="C14" s="122"/>
      <c r="D14" s="122"/>
      <c r="E14" s="147">
        <v>0.1</v>
      </c>
      <c r="F14" s="121">
        <f>F10*E14</f>
        <v>7.4340000000000011</v>
      </c>
      <c r="G14" s="122" t="str">
        <f>G12</f>
        <v>руб.</v>
      </c>
    </row>
    <row r="15" spans="1:7" ht="3" customHeight="1" x14ac:dyDescent="0.25">
      <c r="A15" s="118"/>
      <c r="B15" s="118"/>
      <c r="C15" s="122"/>
      <c r="D15" s="122"/>
      <c r="E15" s="118"/>
      <c r="F15" s="121"/>
      <c r="G15" s="122"/>
    </row>
    <row r="16" spans="1:7" ht="13.5" customHeight="1" x14ac:dyDescent="0.25">
      <c r="A16" s="118"/>
      <c r="B16" s="118" t="s">
        <v>216</v>
      </c>
      <c r="C16" s="122"/>
      <c r="D16" s="122"/>
      <c r="E16" s="147">
        <v>0.04</v>
      </c>
      <c r="F16" s="121">
        <f>F10*E16</f>
        <v>2.9736000000000002</v>
      </c>
      <c r="G16" s="122" t="s">
        <v>103</v>
      </c>
    </row>
    <row r="17" spans="1:7" ht="3" customHeight="1" x14ac:dyDescent="0.25">
      <c r="A17" s="118"/>
      <c r="B17" s="118"/>
      <c r="C17" s="122"/>
      <c r="D17" s="122"/>
      <c r="E17" s="147"/>
      <c r="F17" s="121"/>
      <c r="G17" s="122"/>
    </row>
    <row r="18" spans="1:7" ht="13.5" customHeight="1" x14ac:dyDescent="0.25">
      <c r="A18" s="118"/>
      <c r="B18" s="118" t="s">
        <v>106</v>
      </c>
      <c r="C18" s="122"/>
      <c r="D18" s="122"/>
      <c r="E18" s="147">
        <v>0.4</v>
      </c>
      <c r="F18" s="121">
        <f>F10*E18</f>
        <v>29.736000000000004</v>
      </c>
      <c r="G18" s="122" t="s">
        <v>103</v>
      </c>
    </row>
    <row r="19" spans="1:7" ht="3" customHeight="1" x14ac:dyDescent="0.25">
      <c r="A19" s="118"/>
      <c r="B19" s="118"/>
      <c r="C19" s="122"/>
      <c r="D19" s="122"/>
      <c r="E19" s="147"/>
      <c r="F19" s="121"/>
      <c r="G19" s="122"/>
    </row>
    <row r="20" spans="1:7" ht="13.5" customHeight="1" x14ac:dyDescent="0.25">
      <c r="A20" s="118"/>
      <c r="B20" s="383" t="s">
        <v>439</v>
      </c>
      <c r="C20" s="384"/>
      <c r="D20" s="385"/>
      <c r="E20" s="118"/>
      <c r="F20" s="121">
        <v>64.8</v>
      </c>
      <c r="G20" s="122" t="s">
        <v>103</v>
      </c>
    </row>
    <row r="21" spans="1:7" ht="3" customHeight="1" x14ac:dyDescent="0.25">
      <c r="A21" s="118"/>
      <c r="B21" s="118"/>
      <c r="C21" s="122"/>
      <c r="D21" s="122"/>
      <c r="E21" s="147"/>
      <c r="F21" s="121"/>
      <c r="G21" s="122"/>
    </row>
    <row r="22" spans="1:7" ht="13.5" customHeight="1" x14ac:dyDescent="0.25">
      <c r="A22" s="118"/>
      <c r="B22" s="383" t="s">
        <v>440</v>
      </c>
      <c r="C22" s="384"/>
      <c r="D22" s="385"/>
      <c r="E22" s="118"/>
      <c r="F22" s="121">
        <v>56.12</v>
      </c>
      <c r="G22" s="122" t="s">
        <v>103</v>
      </c>
    </row>
    <row r="23" spans="1:7" ht="3" customHeight="1" x14ac:dyDescent="0.25">
      <c r="A23" s="118"/>
      <c r="B23" s="118"/>
      <c r="C23" s="122"/>
      <c r="D23" s="122"/>
      <c r="E23" s="147"/>
      <c r="F23" s="121"/>
      <c r="G23" s="122"/>
    </row>
    <row r="24" spans="1:7" ht="13.5" customHeight="1" x14ac:dyDescent="0.25">
      <c r="A24" s="118"/>
      <c r="B24" s="118" t="s">
        <v>105</v>
      </c>
      <c r="C24" s="122"/>
      <c r="D24" s="122"/>
      <c r="E24" s="147">
        <v>0.21</v>
      </c>
      <c r="F24" s="121">
        <f>(F22+F20)*E24</f>
        <v>25.393199999999997</v>
      </c>
      <c r="G24" s="122" t="str">
        <f>G22</f>
        <v>руб.</v>
      </c>
    </row>
    <row r="25" spans="1:7" ht="3" customHeight="1" x14ac:dyDescent="0.25">
      <c r="A25" s="118"/>
      <c r="B25" s="118"/>
      <c r="C25" s="122"/>
      <c r="D25" s="122"/>
      <c r="E25" s="147"/>
      <c r="F25" s="121"/>
      <c r="G25" s="122"/>
    </row>
    <row r="26" spans="1:7" ht="13.5" customHeight="1" x14ac:dyDescent="0.25">
      <c r="A26" s="118"/>
      <c r="B26" s="118" t="s">
        <v>216</v>
      </c>
      <c r="C26" s="122"/>
      <c r="D26" s="122"/>
      <c r="E26" s="147">
        <v>0.04</v>
      </c>
      <c r="F26" s="121">
        <f>(F22+F20)*E26</f>
        <v>4.8367999999999993</v>
      </c>
      <c r="G26" s="122" t="s">
        <v>103</v>
      </c>
    </row>
    <row r="27" spans="1:7" ht="3" customHeight="1" x14ac:dyDescent="0.25">
      <c r="A27" s="118"/>
      <c r="B27" s="118"/>
      <c r="C27" s="122"/>
      <c r="D27" s="122"/>
      <c r="E27" s="147"/>
      <c r="F27" s="121"/>
      <c r="G27" s="122"/>
    </row>
    <row r="28" spans="1:7" ht="13.5" customHeight="1" x14ac:dyDescent="0.25">
      <c r="A28" s="118"/>
      <c r="B28" s="118" t="s">
        <v>106</v>
      </c>
      <c r="C28" s="122"/>
      <c r="D28" s="122"/>
      <c r="E28" s="147">
        <v>0.4</v>
      </c>
      <c r="F28" s="121">
        <f>(F20+F22)*E28</f>
        <v>48.367999999999995</v>
      </c>
      <c r="G28" s="122" t="s">
        <v>103</v>
      </c>
    </row>
    <row r="29" spans="1:7" ht="3" customHeight="1" x14ac:dyDescent="0.25">
      <c r="A29" s="118"/>
      <c r="B29" s="118"/>
      <c r="C29" s="122"/>
      <c r="D29" s="122"/>
      <c r="E29" s="147"/>
      <c r="F29" s="121"/>
      <c r="G29" s="122"/>
    </row>
    <row r="30" spans="1:7" ht="13.5" customHeight="1" x14ac:dyDescent="0.25">
      <c r="A30" s="118"/>
      <c r="B30" s="118" t="s">
        <v>107</v>
      </c>
      <c r="C30" s="122"/>
      <c r="D30" s="122"/>
      <c r="E30" s="118"/>
      <c r="F30" s="121">
        <v>60</v>
      </c>
      <c r="G30" s="122" t="s">
        <v>108</v>
      </c>
    </row>
    <row r="31" spans="1:7" ht="3" customHeight="1" x14ac:dyDescent="0.25">
      <c r="A31" s="118"/>
      <c r="B31" s="118"/>
      <c r="C31" s="122"/>
      <c r="D31" s="122"/>
      <c r="E31" s="118"/>
      <c r="F31" s="121"/>
      <c r="G31" s="118"/>
    </row>
    <row r="32" spans="1:7" ht="13.5" customHeight="1" x14ac:dyDescent="0.25">
      <c r="A32" s="126">
        <v>1</v>
      </c>
      <c r="B32" s="127" t="s">
        <v>109</v>
      </c>
      <c r="C32" s="126"/>
      <c r="D32" s="126"/>
      <c r="E32" s="127"/>
      <c r="F32" s="130">
        <f>F28+F26+F24+F22+F20+F18+F16+F14+F12+F10</f>
        <v>332.58659999999998</v>
      </c>
      <c r="G32" s="126" t="s">
        <v>103</v>
      </c>
    </row>
    <row r="33" spans="1:7" ht="13.5" customHeight="1" x14ac:dyDescent="0.25">
      <c r="A33" s="126"/>
      <c r="B33" s="127"/>
      <c r="C33" s="126"/>
      <c r="D33" s="122"/>
      <c r="E33" s="118"/>
      <c r="F33" s="121"/>
      <c r="G33" s="122"/>
    </row>
    <row r="34" spans="1:7" ht="13.5" customHeight="1" x14ac:dyDescent="0.25">
      <c r="A34" s="126">
        <v>2</v>
      </c>
      <c r="B34" s="127" t="s">
        <v>110</v>
      </c>
      <c r="C34" s="126"/>
      <c r="D34" s="126"/>
      <c r="E34" s="148">
        <v>0.30199999999999999</v>
      </c>
      <c r="F34" s="130">
        <f>E34*F32</f>
        <v>100.44115319999999</v>
      </c>
      <c r="G34" s="126" t="s">
        <v>103</v>
      </c>
    </row>
    <row r="35" spans="1:7" ht="13.5" customHeight="1" x14ac:dyDescent="0.25">
      <c r="A35" s="126"/>
      <c r="B35" s="127"/>
      <c r="C35" s="126"/>
      <c r="D35" s="122"/>
      <c r="E35" s="147"/>
      <c r="F35" s="121"/>
      <c r="G35" s="122"/>
    </row>
    <row r="36" spans="1:7" ht="13.5" customHeight="1" x14ac:dyDescent="0.25">
      <c r="A36" s="126">
        <v>3</v>
      </c>
      <c r="B36" s="127" t="s">
        <v>111</v>
      </c>
      <c r="C36" s="126"/>
      <c r="D36" s="126"/>
      <c r="E36" s="148"/>
      <c r="F36" s="130">
        <v>285.67</v>
      </c>
      <c r="G36" s="126" t="s">
        <v>103</v>
      </c>
    </row>
    <row r="37" spans="1:7" ht="13.5" customHeight="1" x14ac:dyDescent="0.25">
      <c r="A37" s="126"/>
      <c r="B37" s="127"/>
      <c r="C37" s="126"/>
      <c r="D37" s="122"/>
      <c r="E37" s="147"/>
      <c r="F37" s="121"/>
      <c r="G37" s="122"/>
    </row>
    <row r="38" spans="1:7" ht="13.5" customHeight="1" x14ac:dyDescent="0.25">
      <c r="A38" s="126">
        <v>4</v>
      </c>
      <c r="B38" s="127" t="s">
        <v>113</v>
      </c>
      <c r="C38" s="126"/>
      <c r="D38" s="126"/>
      <c r="E38" s="148"/>
      <c r="F38" s="130">
        <v>439</v>
      </c>
      <c r="G38" s="126" t="s">
        <v>103</v>
      </c>
    </row>
    <row r="39" spans="1:7" ht="13.5" customHeight="1" x14ac:dyDescent="0.25">
      <c r="A39" s="126"/>
      <c r="B39" s="127"/>
      <c r="C39" s="126"/>
      <c r="D39" s="122"/>
      <c r="E39" s="147"/>
      <c r="F39" s="121"/>
      <c r="G39" s="122"/>
    </row>
    <row r="40" spans="1:7" ht="13.5" customHeight="1" x14ac:dyDescent="0.25">
      <c r="A40" s="126">
        <v>5</v>
      </c>
      <c r="B40" s="127" t="s">
        <v>161</v>
      </c>
      <c r="C40" s="126"/>
      <c r="D40" s="122"/>
      <c r="E40" s="132"/>
      <c r="F40" s="117"/>
      <c r="G40" s="113"/>
    </row>
    <row r="41" spans="1:7" ht="13.5" customHeight="1" x14ac:dyDescent="0.25">
      <c r="A41" s="126"/>
      <c r="B41" s="127"/>
      <c r="C41" s="383" t="s">
        <v>233</v>
      </c>
      <c r="D41" s="385"/>
      <c r="E41" s="210"/>
      <c r="F41" s="121">
        <f>0.371*60</f>
        <v>22.259999999999998</v>
      </c>
      <c r="G41" s="122" t="s">
        <v>116</v>
      </c>
    </row>
    <row r="42" spans="1:7" ht="13.5" customHeight="1" x14ac:dyDescent="0.25">
      <c r="A42" s="126"/>
      <c r="B42" s="127"/>
      <c r="C42" s="383" t="s">
        <v>232</v>
      </c>
      <c r="D42" s="385"/>
      <c r="E42" s="217"/>
      <c r="F42" s="121">
        <f>11.3*2</f>
        <v>22.6</v>
      </c>
      <c r="G42" s="122" t="s">
        <v>116</v>
      </c>
    </row>
    <row r="43" spans="1:7" ht="13.5" customHeight="1" x14ac:dyDescent="0.25">
      <c r="A43" s="126"/>
      <c r="B43" s="127"/>
      <c r="C43" s="405">
        <f>F41+F42</f>
        <v>44.86</v>
      </c>
      <c r="D43" s="406"/>
      <c r="E43" s="217">
        <v>29.95</v>
      </c>
      <c r="F43" s="135">
        <f>C43*E43</f>
        <v>1343.557</v>
      </c>
      <c r="G43" s="122" t="s">
        <v>103</v>
      </c>
    </row>
    <row r="44" spans="1:7" ht="13.5" customHeight="1" x14ac:dyDescent="0.25">
      <c r="A44" s="126"/>
      <c r="B44" s="127"/>
      <c r="C44" s="126"/>
      <c r="D44" s="122"/>
      <c r="E44" s="147"/>
      <c r="F44" s="121"/>
      <c r="G44" s="122"/>
    </row>
    <row r="45" spans="1:7" ht="13.5" customHeight="1" x14ac:dyDescent="0.25">
      <c r="A45" s="126">
        <v>6</v>
      </c>
      <c r="B45" s="127" t="s">
        <v>117</v>
      </c>
      <c r="C45" s="126"/>
      <c r="D45" s="122"/>
      <c r="E45" s="118"/>
      <c r="F45" s="121"/>
      <c r="G45" s="122"/>
    </row>
    <row r="46" spans="1:7" ht="13.5" customHeight="1" x14ac:dyDescent="0.25">
      <c r="A46" s="126"/>
      <c r="B46" s="118" t="s">
        <v>118</v>
      </c>
      <c r="C46" s="151">
        <v>2.4E-2</v>
      </c>
      <c r="D46" s="218" t="s">
        <v>119</v>
      </c>
      <c r="E46" s="196">
        <v>142.52000000000001</v>
      </c>
      <c r="F46" s="121">
        <f>C46*$C$43*E46</f>
        <v>153.44273280000002</v>
      </c>
      <c r="G46" s="122" t="s">
        <v>103</v>
      </c>
    </row>
    <row r="47" spans="1:7" ht="13.5" customHeight="1" x14ac:dyDescent="0.25">
      <c r="A47" s="126"/>
      <c r="B47" s="118" t="s">
        <v>120</v>
      </c>
      <c r="C47" s="151">
        <v>3.0000000000000001E-3</v>
      </c>
      <c r="D47" s="219" t="s">
        <v>121</v>
      </c>
      <c r="E47" s="196">
        <v>88.65</v>
      </c>
      <c r="F47" s="121">
        <f>C47*$C$43*E47</f>
        <v>11.930517000000002</v>
      </c>
      <c r="G47" s="122" t="s">
        <v>103</v>
      </c>
    </row>
    <row r="48" spans="1:7" ht="13.5" customHeight="1" x14ac:dyDescent="0.25">
      <c r="A48" s="126"/>
      <c r="B48" s="118" t="s">
        <v>122</v>
      </c>
      <c r="C48" s="151">
        <v>1E-3</v>
      </c>
      <c r="D48" s="219" t="s">
        <v>121</v>
      </c>
      <c r="E48" s="196">
        <v>56.75</v>
      </c>
      <c r="F48" s="121">
        <f>C48*$C$43*E48</f>
        <v>2.5458049999999997</v>
      </c>
      <c r="G48" s="122" t="s">
        <v>103</v>
      </c>
    </row>
    <row r="49" spans="1:7" ht="13.5" customHeight="1" x14ac:dyDescent="0.25">
      <c r="A49" s="126"/>
      <c r="B49" s="118" t="s">
        <v>123</v>
      </c>
      <c r="C49" s="151">
        <v>2E-3</v>
      </c>
      <c r="D49" s="219" t="s">
        <v>121</v>
      </c>
      <c r="E49" s="196">
        <v>100.17</v>
      </c>
      <c r="F49" s="121">
        <f>C49*$C$43*E49</f>
        <v>8.9872523999999991</v>
      </c>
      <c r="G49" s="122" t="s">
        <v>103</v>
      </c>
    </row>
    <row r="50" spans="1:7" ht="13.5" customHeight="1" x14ac:dyDescent="0.25">
      <c r="A50" s="126"/>
      <c r="B50" s="118" t="s">
        <v>124</v>
      </c>
      <c r="C50" s="192"/>
      <c r="D50" s="191"/>
      <c r="E50" s="220"/>
      <c r="F50" s="130">
        <f>SUM(F46:F49)</f>
        <v>176.90630720000001</v>
      </c>
      <c r="G50" s="126" t="s">
        <v>103</v>
      </c>
    </row>
    <row r="51" spans="1:7" ht="13.5" customHeight="1" x14ac:dyDescent="0.25">
      <c r="A51" s="126"/>
      <c r="B51" s="118"/>
      <c r="C51" s="122"/>
      <c r="D51" s="122"/>
      <c r="E51" s="147"/>
      <c r="F51" s="121"/>
      <c r="G51" s="122"/>
    </row>
    <row r="52" spans="1:7" ht="13.5" customHeight="1" x14ac:dyDescent="0.25">
      <c r="A52" s="126">
        <v>7</v>
      </c>
      <c r="B52" s="127" t="s">
        <v>125</v>
      </c>
      <c r="C52" s="126"/>
      <c r="D52" s="126"/>
      <c r="E52" s="148">
        <v>0.62</v>
      </c>
      <c r="F52" s="130">
        <f>F32*E52</f>
        <v>206.20369199999999</v>
      </c>
      <c r="G52" s="126" t="s">
        <v>103</v>
      </c>
    </row>
    <row r="53" spans="1:7" ht="13.5" customHeight="1" x14ac:dyDescent="0.25">
      <c r="A53" s="122"/>
      <c r="B53" s="118"/>
      <c r="C53" s="122"/>
      <c r="D53" s="122"/>
      <c r="E53" s="147"/>
      <c r="F53" s="121"/>
      <c r="G53" s="122"/>
    </row>
    <row r="54" spans="1:7" ht="13.5" customHeight="1" x14ac:dyDescent="0.25">
      <c r="A54" s="126">
        <v>8</v>
      </c>
      <c r="B54" s="127" t="s">
        <v>126</v>
      </c>
      <c r="C54" s="126"/>
      <c r="D54" s="126"/>
      <c r="E54" s="148"/>
      <c r="F54" s="130">
        <f>F32+F34+F36+F38+F43+F50+F52</f>
        <v>2884.3647523999998</v>
      </c>
      <c r="G54" s="126" t="s">
        <v>103</v>
      </c>
    </row>
    <row r="55" spans="1:7" ht="13.5" customHeight="1" x14ac:dyDescent="0.25">
      <c r="A55" s="126"/>
      <c r="B55" s="127"/>
      <c r="C55" s="126"/>
      <c r="D55" s="126"/>
      <c r="E55" s="148"/>
      <c r="F55" s="130"/>
      <c r="G55" s="126"/>
    </row>
    <row r="56" spans="1:7" ht="13.5" customHeight="1" x14ac:dyDescent="0.25">
      <c r="A56" s="126">
        <v>9</v>
      </c>
      <c r="B56" s="127" t="s">
        <v>127</v>
      </c>
      <c r="C56" s="126"/>
      <c r="D56" s="126"/>
      <c r="E56" s="148"/>
      <c r="F56" s="130"/>
      <c r="G56" s="126"/>
    </row>
    <row r="57" spans="1:7" ht="13.5" customHeight="1" x14ac:dyDescent="0.25">
      <c r="A57" s="122"/>
      <c r="B57" s="118" t="s">
        <v>128</v>
      </c>
      <c r="C57" s="122"/>
      <c r="D57" s="122"/>
      <c r="E57" s="147">
        <v>0.1</v>
      </c>
      <c r="F57" s="121">
        <f>F54*E57</f>
        <v>288.43647523999999</v>
      </c>
      <c r="G57" s="122" t="s">
        <v>103</v>
      </c>
    </row>
    <row r="58" spans="1:7" ht="13.5" customHeight="1" x14ac:dyDescent="0.25">
      <c r="A58" s="122"/>
      <c r="B58" s="118" t="s">
        <v>129</v>
      </c>
      <c r="C58" s="122"/>
      <c r="D58" s="122"/>
      <c r="E58" s="147">
        <v>0.15</v>
      </c>
      <c r="F58" s="121">
        <f>F54*E58</f>
        <v>432.65471285999996</v>
      </c>
      <c r="G58" s="122" t="s">
        <v>103</v>
      </c>
    </row>
    <row r="59" spans="1:7" ht="3" customHeight="1" x14ac:dyDescent="0.25">
      <c r="A59" s="122"/>
      <c r="B59" s="118"/>
      <c r="C59" s="122"/>
      <c r="D59" s="122"/>
      <c r="E59" s="147"/>
      <c r="F59" s="121"/>
      <c r="G59" s="122"/>
    </row>
    <row r="60" spans="1:7" ht="13.5" customHeight="1" x14ac:dyDescent="0.25">
      <c r="A60" s="126">
        <v>10</v>
      </c>
      <c r="B60" s="127" t="s">
        <v>130</v>
      </c>
      <c r="C60" s="126"/>
      <c r="D60" s="126"/>
      <c r="E60" s="148"/>
      <c r="F60" s="130"/>
      <c r="G60" s="126"/>
    </row>
    <row r="61" spans="1:7" ht="13.5" customHeight="1" x14ac:dyDescent="0.25">
      <c r="A61" s="122"/>
      <c r="B61" s="118" t="s">
        <v>128</v>
      </c>
      <c r="C61" s="122"/>
      <c r="D61" s="122"/>
      <c r="E61" s="147"/>
      <c r="F61" s="130">
        <f>F54+F57</f>
        <v>3172.80122764</v>
      </c>
      <c r="G61" s="126" t="s">
        <v>103</v>
      </c>
    </row>
    <row r="62" spans="1:7" ht="13.5" customHeight="1" x14ac:dyDescent="0.25">
      <c r="A62" s="122"/>
      <c r="B62" s="118" t="s">
        <v>129</v>
      </c>
      <c r="C62" s="122"/>
      <c r="D62" s="122"/>
      <c r="E62" s="147"/>
      <c r="F62" s="130">
        <f>F54+F58</f>
        <v>3317.0194652599998</v>
      </c>
      <c r="G62" s="126" t="s">
        <v>103</v>
      </c>
    </row>
    <row r="63" spans="1:7" ht="13.5" customHeight="1" x14ac:dyDescent="0.25">
      <c r="A63" s="113"/>
      <c r="B63" s="113"/>
      <c r="C63" s="144"/>
      <c r="D63" s="144"/>
      <c r="E63" s="113"/>
      <c r="F63" s="117"/>
      <c r="G63" s="113"/>
    </row>
    <row r="64" spans="1:7" ht="13.5" customHeight="1" x14ac:dyDescent="0.25">
      <c r="A64" s="113"/>
      <c r="B64" s="113"/>
      <c r="C64" s="144"/>
      <c r="D64" s="144"/>
      <c r="E64" s="113"/>
      <c r="F64" s="117"/>
      <c r="G64" s="113"/>
    </row>
    <row r="65" spans="1:7" ht="13.5" customHeight="1" x14ac:dyDescent="0.25">
      <c r="A65" s="31"/>
      <c r="B65" s="90" t="s">
        <v>56</v>
      </c>
      <c r="C65" s="90"/>
      <c r="D65" s="90"/>
      <c r="E65" s="31"/>
      <c r="F65" s="67" t="s">
        <v>58</v>
      </c>
      <c r="G65" s="31"/>
    </row>
  </sheetData>
  <mergeCells count="11">
    <mergeCell ref="B20:D20"/>
    <mergeCell ref="B22:D22"/>
    <mergeCell ref="C41:D41"/>
    <mergeCell ref="C42:D42"/>
    <mergeCell ref="C43:D43"/>
    <mergeCell ref="B10:D10"/>
    <mergeCell ref="A6:G6"/>
    <mergeCell ref="A7:G7"/>
    <mergeCell ref="A8:A9"/>
    <mergeCell ref="B8:E9"/>
    <mergeCell ref="F8:G8"/>
  </mergeCells>
  <pageMargins left="0.25" right="0.25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3"/>
  <sheetViews>
    <sheetView topLeftCell="A4" workbookViewId="0">
      <selection activeCell="F14" sqref="F14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17" t="s">
        <v>234</v>
      </c>
      <c r="B1" s="317"/>
      <c r="C1" s="317"/>
      <c r="D1" s="317"/>
      <c r="E1" s="317"/>
      <c r="F1" s="317"/>
      <c r="G1" s="317"/>
    </row>
    <row r="2" spans="1:7" x14ac:dyDescent="0.25">
      <c r="A2" s="316" t="s">
        <v>135</v>
      </c>
      <c r="B2" s="316"/>
      <c r="C2" s="316"/>
      <c r="D2" s="316"/>
      <c r="E2" s="316"/>
      <c r="F2" s="316"/>
      <c r="G2" s="3"/>
    </row>
    <row r="3" spans="1:7" x14ac:dyDescent="0.25">
      <c r="A3" s="94"/>
      <c r="B3" s="5">
        <f>'План. расчет времени'!F30</f>
        <v>414.62192150057234</v>
      </c>
      <c r="C3" s="3" t="s">
        <v>136</v>
      </c>
      <c r="D3" s="3"/>
      <c r="E3" s="3"/>
      <c r="F3" s="3"/>
      <c r="G3" s="3"/>
    </row>
    <row r="4" spans="1:7" x14ac:dyDescent="0.25">
      <c r="A4" s="316" t="s">
        <v>137</v>
      </c>
      <c r="B4" s="316"/>
      <c r="C4" s="316"/>
      <c r="D4" s="316"/>
      <c r="E4" s="316"/>
      <c r="F4" s="316"/>
      <c r="G4" s="93"/>
    </row>
    <row r="5" spans="1:7" x14ac:dyDescent="0.25">
      <c r="A5" s="3"/>
      <c r="B5" s="3">
        <v>40</v>
      </c>
      <c r="C5" s="3" t="s">
        <v>136</v>
      </c>
      <c r="D5" s="3"/>
      <c r="E5" s="3"/>
      <c r="F5" s="3"/>
      <c r="G5" s="93"/>
    </row>
    <row r="6" spans="1:7" x14ac:dyDescent="0.25">
      <c r="A6" s="316" t="s">
        <v>173</v>
      </c>
      <c r="B6" s="316"/>
      <c r="C6" s="316"/>
      <c r="D6" s="316"/>
      <c r="E6" s="316"/>
      <c r="F6" s="316"/>
      <c r="G6" s="316"/>
    </row>
    <row r="7" spans="1:7" x14ac:dyDescent="0.25">
      <c r="A7" s="3"/>
      <c r="B7" s="3">
        <v>40</v>
      </c>
      <c r="C7" s="3" t="s">
        <v>136</v>
      </c>
      <c r="D7" s="94"/>
      <c r="E7" s="94"/>
      <c r="F7" s="3"/>
      <c r="G7" s="3"/>
    </row>
    <row r="8" spans="1:7" x14ac:dyDescent="0.25">
      <c r="A8" s="93"/>
      <c r="B8" s="93"/>
      <c r="C8" s="93"/>
      <c r="D8" s="3"/>
      <c r="E8" s="3"/>
      <c r="F8" s="3"/>
      <c r="G8" s="3"/>
    </row>
    <row r="9" spans="1:7" x14ac:dyDescent="0.25">
      <c r="A9" s="404" t="s">
        <v>141</v>
      </c>
      <c r="B9" s="404"/>
      <c r="C9" s="404"/>
      <c r="D9" s="158">
        <f>B3-B5-B7</f>
        <v>334.62192150057234</v>
      </c>
      <c r="E9" s="159" t="s">
        <v>136</v>
      </c>
      <c r="F9" s="159"/>
      <c r="G9" s="9"/>
    </row>
    <row r="10" spans="1:7" x14ac:dyDescent="0.25">
      <c r="A10" s="93"/>
      <c r="B10" s="93"/>
      <c r="C10" s="93"/>
      <c r="D10" s="93"/>
      <c r="E10" s="93"/>
      <c r="F10" s="93"/>
      <c r="G10" s="93"/>
    </row>
    <row r="11" spans="1:7" x14ac:dyDescent="0.25">
      <c r="A11" s="316" t="s">
        <v>174</v>
      </c>
      <c r="B11" s="316"/>
      <c r="C11" s="3">
        <v>95592.960000000006</v>
      </c>
      <c r="D11" s="3" t="s">
        <v>103</v>
      </c>
      <c r="E11" s="3"/>
      <c r="F11" s="93"/>
      <c r="G11" s="93"/>
    </row>
    <row r="12" spans="1:7" x14ac:dyDescent="0.25">
      <c r="A12" s="93"/>
      <c r="B12" s="93"/>
      <c r="C12" s="93"/>
      <c r="D12" s="93"/>
      <c r="E12" s="93"/>
      <c r="F12" s="93"/>
      <c r="G12" s="93"/>
    </row>
    <row r="13" spans="1:7" x14ac:dyDescent="0.25">
      <c r="A13" s="316" t="s">
        <v>175</v>
      </c>
      <c r="B13" s="316"/>
      <c r="C13" s="316"/>
      <c r="D13" s="316"/>
      <c r="E13" s="316"/>
      <c r="F13" s="3">
        <v>146900</v>
      </c>
      <c r="G13" s="3" t="s">
        <v>103</v>
      </c>
    </row>
    <row r="14" spans="1:7" x14ac:dyDescent="0.25">
      <c r="A14" s="93"/>
      <c r="B14" s="93"/>
      <c r="C14" s="3"/>
      <c r="D14" s="3"/>
      <c r="E14" s="3"/>
      <c r="F14" s="94"/>
      <c r="G14" s="94"/>
    </row>
    <row r="15" spans="1:7" ht="15.75" thickBot="1" x14ac:dyDescent="0.3">
      <c r="A15" s="375" t="s">
        <v>143</v>
      </c>
      <c r="B15" s="373" t="s">
        <v>144</v>
      </c>
      <c r="C15" s="373"/>
      <c r="D15" s="373"/>
      <c r="E15" s="3"/>
      <c r="F15" s="94"/>
      <c r="G15" s="94"/>
    </row>
    <row r="16" spans="1:7" x14ac:dyDescent="0.25">
      <c r="A16" s="375"/>
      <c r="B16" s="374" t="s">
        <v>145</v>
      </c>
      <c r="C16" s="374"/>
      <c r="D16" s="374"/>
      <c r="E16" s="3"/>
      <c r="F16" s="94"/>
      <c r="G16" s="94"/>
    </row>
    <row r="17" spans="1:7" x14ac:dyDescent="0.25">
      <c r="A17" s="99"/>
      <c r="B17" s="100"/>
      <c r="C17" s="100"/>
      <c r="D17" s="100"/>
      <c r="E17" s="3"/>
      <c r="F17" s="94"/>
      <c r="G17" s="94"/>
    </row>
    <row r="18" spans="1:7" ht="15.75" thickBot="1" x14ac:dyDescent="0.3">
      <c r="A18" s="372" t="s">
        <v>146</v>
      </c>
      <c r="B18" s="372"/>
      <c r="C18" s="373" t="s">
        <v>147</v>
      </c>
      <c r="D18" s="373"/>
      <c r="E18" s="373"/>
      <c r="F18" s="94"/>
      <c r="G18" s="94"/>
    </row>
    <row r="19" spans="1:7" x14ac:dyDescent="0.25">
      <c r="A19" s="372"/>
      <c r="B19" s="372"/>
      <c r="C19" s="374" t="s">
        <v>145</v>
      </c>
      <c r="D19" s="374"/>
      <c r="E19" s="374"/>
      <c r="F19" s="94"/>
      <c r="G19" s="94"/>
    </row>
    <row r="20" spans="1:7" x14ac:dyDescent="0.25">
      <c r="A20" s="9"/>
      <c r="B20" s="9"/>
      <c r="C20" s="101"/>
      <c r="D20" s="101"/>
      <c r="E20" s="101"/>
      <c r="F20" s="94"/>
      <c r="G20" s="94"/>
    </row>
    <row r="21" spans="1:7" x14ac:dyDescent="0.25">
      <c r="A21" s="9"/>
      <c r="B21" s="9"/>
      <c r="C21" s="101"/>
      <c r="D21" s="101"/>
      <c r="E21" s="320" t="s">
        <v>13</v>
      </c>
      <c r="F21" s="320"/>
      <c r="G21" s="94"/>
    </row>
    <row r="22" spans="1:7" x14ac:dyDescent="0.25">
      <c r="A22" s="321" t="s">
        <v>148</v>
      </c>
      <c r="B22" s="321"/>
      <c r="C22" s="321"/>
      <c r="D22" s="321"/>
      <c r="E22" s="321"/>
      <c r="F22" s="321"/>
      <c r="G22" s="94"/>
    </row>
    <row r="23" spans="1:7" x14ac:dyDescent="0.25">
      <c r="A23" s="377" t="s">
        <v>149</v>
      </c>
      <c r="B23" s="379" t="s">
        <v>16</v>
      </c>
      <c r="C23" s="380"/>
      <c r="D23" s="380"/>
      <c r="E23" s="381" t="s">
        <v>150</v>
      </c>
      <c r="F23" s="381"/>
      <c r="G23" s="102"/>
    </row>
    <row r="24" spans="1:7" ht="45" x14ac:dyDescent="0.25">
      <c r="A24" s="378"/>
      <c r="B24" s="103" t="s">
        <v>151</v>
      </c>
      <c r="C24" s="103" t="s">
        <v>152</v>
      </c>
      <c r="D24" s="104" t="s">
        <v>153</v>
      </c>
      <c r="E24" s="103" t="s">
        <v>154</v>
      </c>
      <c r="F24" s="103" t="s">
        <v>155</v>
      </c>
      <c r="G24" s="105"/>
    </row>
    <row r="25" spans="1:7" x14ac:dyDescent="0.25">
      <c r="A25" s="106" t="s">
        <v>235</v>
      </c>
      <c r="B25" s="107">
        <f>C11</f>
        <v>95592.960000000006</v>
      </c>
      <c r="C25" s="108">
        <f>F13</f>
        <v>146900</v>
      </c>
      <c r="D25" s="109">
        <f>D9</f>
        <v>334.62192150057234</v>
      </c>
      <c r="E25" s="108">
        <f>B25/D25</f>
        <v>285.67452954464164</v>
      </c>
      <c r="F25" s="107">
        <f>C25/D25</f>
        <v>439.00291810304708</v>
      </c>
      <c r="G25" s="12"/>
    </row>
    <row r="26" spans="1:7" x14ac:dyDescent="0.25">
      <c r="A26" s="94"/>
      <c r="B26" s="94"/>
      <c r="C26" s="94"/>
      <c r="D26" s="94"/>
      <c r="E26" s="94"/>
      <c r="F26" s="94"/>
      <c r="G26" s="94"/>
    </row>
    <row r="27" spans="1:7" x14ac:dyDescent="0.25">
      <c r="A27" s="94"/>
      <c r="B27" s="94"/>
      <c r="C27" s="94"/>
      <c r="D27" s="94"/>
      <c r="E27" s="94"/>
      <c r="F27" s="94"/>
      <c r="G27" s="94"/>
    </row>
    <row r="28" spans="1:7" x14ac:dyDescent="0.25">
      <c r="A28" s="94"/>
      <c r="B28" s="94"/>
      <c r="C28" s="94"/>
      <c r="D28" s="94"/>
      <c r="E28" s="94"/>
      <c r="F28" s="94"/>
      <c r="G28" s="94"/>
    </row>
    <row r="29" spans="1:7" x14ac:dyDescent="0.25">
      <c r="A29" s="94"/>
      <c r="B29" s="94"/>
      <c r="C29" s="94"/>
      <c r="D29" s="94"/>
      <c r="E29" s="94"/>
      <c r="F29" s="94"/>
      <c r="G29" s="94"/>
    </row>
    <row r="30" spans="1:7" ht="15.75" x14ac:dyDescent="0.25">
      <c r="A30" s="382" t="s">
        <v>56</v>
      </c>
      <c r="B30" s="382"/>
      <c r="C30" s="382"/>
      <c r="D30" s="31"/>
      <c r="E30" s="340" t="s">
        <v>58</v>
      </c>
      <c r="F30" s="340"/>
      <c r="G30" s="340"/>
    </row>
    <row r="31" spans="1:7" ht="15.75" x14ac:dyDescent="0.25">
      <c r="A31" s="376" t="s">
        <v>57</v>
      </c>
      <c r="B31" s="376"/>
      <c r="C31" s="376"/>
      <c r="D31" s="31"/>
      <c r="E31" s="31"/>
      <c r="F31" s="91"/>
      <c r="G31" s="31"/>
    </row>
    <row r="32" spans="1:7" x14ac:dyDescent="0.25">
      <c r="A32" s="94"/>
      <c r="B32" s="94"/>
      <c r="C32" s="94"/>
      <c r="D32" s="94"/>
      <c r="E32" s="94"/>
      <c r="F32" s="94"/>
      <c r="G32" s="94"/>
    </row>
    <row r="33" spans="1:7" x14ac:dyDescent="0.25">
      <c r="A33" s="94"/>
      <c r="B33" s="94"/>
      <c r="C33" s="94"/>
      <c r="D33" s="94"/>
      <c r="E33" s="94"/>
      <c r="F33" s="94"/>
      <c r="G33" s="94"/>
    </row>
  </sheetData>
  <mergeCells count="21">
    <mergeCell ref="A31:C31"/>
    <mergeCell ref="E21:F21"/>
    <mergeCell ref="A22:F22"/>
    <mergeCell ref="A23:A24"/>
    <mergeCell ref="B23:D23"/>
    <mergeCell ref="E23:F23"/>
    <mergeCell ref="A30:C30"/>
    <mergeCell ref="E30:G30"/>
    <mergeCell ref="A13:E13"/>
    <mergeCell ref="A15:A16"/>
    <mergeCell ref="B15:D15"/>
    <mergeCell ref="B16:D16"/>
    <mergeCell ref="A18:B19"/>
    <mergeCell ref="C18:E18"/>
    <mergeCell ref="C19:E19"/>
    <mergeCell ref="A11:B11"/>
    <mergeCell ref="A1:G1"/>
    <mergeCell ref="A2:F2"/>
    <mergeCell ref="A4:F4"/>
    <mergeCell ref="A6:G6"/>
    <mergeCell ref="A9:C9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56"/>
  <sheetViews>
    <sheetView topLeftCell="A4" zoomScaleNormal="100" workbookViewId="0">
      <selection activeCell="H10" sqref="H10"/>
    </sheetView>
  </sheetViews>
  <sheetFormatPr defaultRowHeight="15" x14ac:dyDescent="0.25"/>
  <cols>
    <col min="1" max="1" width="3.5703125" customWidth="1"/>
    <col min="2" max="2" width="15.140625" customWidth="1"/>
    <col min="3" max="3" width="16.28515625" customWidth="1"/>
    <col min="4" max="4" width="8.5703125" customWidth="1"/>
    <col min="5" max="5" width="5.85546875" customWidth="1"/>
    <col min="6" max="6" width="8.140625" customWidth="1"/>
    <col min="7" max="7" width="5.42578125" customWidth="1"/>
    <col min="8" max="8" width="7.28515625" customWidth="1"/>
    <col min="9" max="9" width="7.5703125" customWidth="1"/>
    <col min="10" max="10" width="7.140625" customWidth="1"/>
    <col min="11" max="11" width="7.5703125" customWidth="1"/>
    <col min="12" max="12" width="7.140625" customWidth="1"/>
    <col min="13" max="13" width="6.85546875" customWidth="1"/>
    <col min="14" max="14" width="6.7109375" customWidth="1"/>
    <col min="15" max="15" width="5.5703125" customWidth="1"/>
    <col min="16" max="16" width="6" customWidth="1"/>
    <col min="17" max="17" width="5.5703125" customWidth="1"/>
  </cols>
  <sheetData>
    <row r="1" spans="1:17" ht="12" customHeight="1" x14ac:dyDescent="0.25">
      <c r="A1" s="298"/>
      <c r="B1" s="299"/>
      <c r="C1" s="299"/>
      <c r="D1" s="299"/>
      <c r="E1" s="299"/>
      <c r="F1" s="300"/>
      <c r="G1" s="300"/>
      <c r="H1" s="300"/>
      <c r="I1" s="301"/>
      <c r="J1" s="300"/>
      <c r="K1" s="302"/>
      <c r="L1" s="442" t="s">
        <v>167</v>
      </c>
      <c r="M1" s="442"/>
      <c r="N1" s="442"/>
      <c r="O1" s="442"/>
      <c r="P1" s="442"/>
      <c r="Q1" s="443"/>
    </row>
    <row r="2" spans="1:17" ht="12" customHeight="1" x14ac:dyDescent="0.25">
      <c r="A2" s="303"/>
      <c r="B2" s="286"/>
      <c r="C2" s="286"/>
      <c r="D2" s="286"/>
      <c r="E2" s="286"/>
      <c r="F2" s="254"/>
      <c r="G2" s="254"/>
      <c r="H2" s="254"/>
      <c r="I2" s="304"/>
      <c r="J2" s="254"/>
      <c r="K2" s="444" t="s">
        <v>61</v>
      </c>
      <c r="L2" s="444"/>
      <c r="M2" s="444"/>
      <c r="N2" s="444"/>
      <c r="O2" s="444"/>
      <c r="P2" s="444"/>
      <c r="Q2" s="445"/>
    </row>
    <row r="3" spans="1:17" ht="12" customHeight="1" x14ac:dyDescent="0.25">
      <c r="A3" s="303"/>
      <c r="B3" s="286"/>
      <c r="C3" s="286"/>
      <c r="D3" s="286"/>
      <c r="E3" s="286"/>
      <c r="F3" s="254"/>
      <c r="G3" s="254"/>
      <c r="H3" s="254"/>
      <c r="I3" s="304"/>
      <c r="J3" s="254"/>
      <c r="K3" s="444" t="s">
        <v>416</v>
      </c>
      <c r="L3" s="444"/>
      <c r="M3" s="444"/>
      <c r="N3" s="444"/>
      <c r="O3" s="444"/>
      <c r="P3" s="444"/>
      <c r="Q3" s="445"/>
    </row>
    <row r="4" spans="1:17" ht="12" customHeight="1" x14ac:dyDescent="0.25">
      <c r="A4" s="303"/>
      <c r="B4" s="286"/>
      <c r="C4" s="286"/>
      <c r="D4" s="286"/>
      <c r="E4" s="286"/>
      <c r="F4" s="254"/>
      <c r="G4" s="254"/>
      <c r="H4" s="254"/>
      <c r="I4" s="304"/>
      <c r="J4" s="254"/>
      <c r="K4" s="444" t="s">
        <v>424</v>
      </c>
      <c r="L4" s="444"/>
      <c r="M4" s="444"/>
      <c r="N4" s="444"/>
      <c r="O4" s="444"/>
      <c r="P4" s="444"/>
      <c r="Q4" s="445"/>
    </row>
    <row r="5" spans="1:17" ht="12" customHeight="1" x14ac:dyDescent="0.25">
      <c r="A5" s="446" t="s">
        <v>98</v>
      </c>
      <c r="B5" s="447"/>
      <c r="C5" s="447"/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7"/>
      <c r="P5" s="447"/>
      <c r="Q5" s="305"/>
    </row>
    <row r="6" spans="1:17" ht="12" customHeight="1" x14ac:dyDescent="0.25">
      <c r="A6" s="457" t="s">
        <v>236</v>
      </c>
      <c r="B6" s="458"/>
      <c r="C6" s="458"/>
      <c r="D6" s="458"/>
      <c r="E6" s="458"/>
      <c r="F6" s="458"/>
      <c r="G6" s="458"/>
      <c r="H6" s="458"/>
      <c r="I6" s="458"/>
      <c r="J6" s="458"/>
      <c r="K6" s="458"/>
      <c r="L6" s="458"/>
      <c r="M6" s="458"/>
      <c r="N6" s="458"/>
      <c r="O6" s="458"/>
      <c r="P6" s="458"/>
      <c r="Q6" s="306"/>
    </row>
    <row r="7" spans="1:17" ht="19.5" customHeight="1" x14ac:dyDescent="0.25">
      <c r="A7" s="448" t="s">
        <v>14</v>
      </c>
      <c r="B7" s="450" t="s">
        <v>100</v>
      </c>
      <c r="C7" s="450"/>
      <c r="D7" s="450" t="s">
        <v>237</v>
      </c>
      <c r="E7" s="451" t="s">
        <v>238</v>
      </c>
      <c r="F7" s="452"/>
      <c r="G7" s="453"/>
      <c r="H7" s="450" t="s">
        <v>239</v>
      </c>
      <c r="I7" s="465" t="s">
        <v>240</v>
      </c>
      <c r="J7" s="450" t="s">
        <v>241</v>
      </c>
      <c r="K7" s="450" t="s">
        <v>242</v>
      </c>
      <c r="L7" s="459" t="s">
        <v>434</v>
      </c>
      <c r="M7" s="460" t="s">
        <v>243</v>
      </c>
      <c r="N7" s="461"/>
      <c r="O7" s="461"/>
      <c r="P7" s="461"/>
      <c r="Q7" s="462"/>
    </row>
    <row r="8" spans="1:17" ht="47.25" customHeight="1" x14ac:dyDescent="0.25">
      <c r="A8" s="449"/>
      <c r="B8" s="450"/>
      <c r="C8" s="450"/>
      <c r="D8" s="450"/>
      <c r="E8" s="454"/>
      <c r="F8" s="455"/>
      <c r="G8" s="456"/>
      <c r="H8" s="450"/>
      <c r="I8" s="465"/>
      <c r="J8" s="450"/>
      <c r="K8" s="450"/>
      <c r="L8" s="459"/>
      <c r="M8" s="288" t="s">
        <v>244</v>
      </c>
      <c r="N8" s="288" t="s">
        <v>245</v>
      </c>
      <c r="O8" s="288" t="s">
        <v>246</v>
      </c>
      <c r="P8" s="288" t="s">
        <v>247</v>
      </c>
      <c r="Q8" s="288" t="s">
        <v>248</v>
      </c>
    </row>
    <row r="9" spans="1:17" ht="11.25" customHeight="1" x14ac:dyDescent="0.25">
      <c r="A9" s="283">
        <v>1</v>
      </c>
      <c r="B9" s="463" t="s">
        <v>109</v>
      </c>
      <c r="C9" s="464"/>
      <c r="D9" s="221" t="s">
        <v>103</v>
      </c>
      <c r="E9" s="292">
        <v>130.1</v>
      </c>
      <c r="F9" s="110" t="s">
        <v>249</v>
      </c>
      <c r="G9" s="285"/>
      <c r="H9" s="223">
        <f>E9/35</f>
        <v>3.7171428571428571</v>
      </c>
      <c r="I9" s="223">
        <f>E9/'Плановый пробег'!B20</f>
        <v>13.01</v>
      </c>
      <c r="J9" s="223">
        <f>E9/'Плановый пробег'!E20</f>
        <v>13.01</v>
      </c>
      <c r="K9" s="223">
        <f>E9/'Плановый пробег'!E20</f>
        <v>13.01</v>
      </c>
      <c r="L9" s="223">
        <f>E9/'Плановый пробег'!F20</f>
        <v>13.01</v>
      </c>
      <c r="M9" s="223">
        <f>$E$9/6/'Плановый пробег'!D20</f>
        <v>4.3366666666666669</v>
      </c>
      <c r="N9" s="223">
        <f>$E$9/6/'Плановый пробег'!D20</f>
        <v>4.3366666666666669</v>
      </c>
      <c r="O9" s="223">
        <f>$E$9/6/'Плановый пробег'!D20</f>
        <v>4.3366666666666669</v>
      </c>
      <c r="P9" s="223">
        <f>$E$9/6/'Плановый пробег'!D20</f>
        <v>4.3366666666666669</v>
      </c>
      <c r="Q9" s="223">
        <f>$E$9/6/'Плановый пробег'!D20</f>
        <v>4.3366666666666669</v>
      </c>
    </row>
    <row r="10" spans="1:17" ht="11.25" customHeight="1" x14ac:dyDescent="0.25">
      <c r="A10" s="283">
        <v>2</v>
      </c>
      <c r="B10" s="463" t="s">
        <v>110</v>
      </c>
      <c r="C10" s="464"/>
      <c r="D10" s="221" t="s">
        <v>103</v>
      </c>
      <c r="E10" s="468">
        <v>0.30199999999999999</v>
      </c>
      <c r="F10" s="469"/>
      <c r="G10" s="470"/>
      <c r="H10" s="223">
        <f>H9*E10</f>
        <v>1.1225771428571427</v>
      </c>
      <c r="I10" s="223">
        <f t="shared" ref="I10:Q10" si="0">I9*$E$10</f>
        <v>3.92902</v>
      </c>
      <c r="J10" s="223">
        <f t="shared" si="0"/>
        <v>3.92902</v>
      </c>
      <c r="K10" s="223">
        <f t="shared" si="0"/>
        <v>3.92902</v>
      </c>
      <c r="L10" s="223">
        <f t="shared" si="0"/>
        <v>3.92902</v>
      </c>
      <c r="M10" s="223">
        <f t="shared" si="0"/>
        <v>1.3096733333333335</v>
      </c>
      <c r="N10" s="223">
        <f t="shared" si="0"/>
        <v>1.3096733333333335</v>
      </c>
      <c r="O10" s="223">
        <f t="shared" si="0"/>
        <v>1.3096733333333335</v>
      </c>
      <c r="P10" s="223">
        <f t="shared" si="0"/>
        <v>1.3096733333333335</v>
      </c>
      <c r="Q10" s="223">
        <f t="shared" si="0"/>
        <v>1.3096733333333335</v>
      </c>
    </row>
    <row r="11" spans="1:17" ht="11.25" customHeight="1" x14ac:dyDescent="0.25">
      <c r="A11" s="283">
        <v>3</v>
      </c>
      <c r="B11" s="463" t="s">
        <v>111</v>
      </c>
      <c r="C11" s="464"/>
      <c r="D11" s="221" t="s">
        <v>103</v>
      </c>
      <c r="E11" s="471"/>
      <c r="F11" s="472"/>
      <c r="G11" s="473"/>
      <c r="H11" s="223">
        <v>41.92</v>
      </c>
      <c r="I11" s="223">
        <f>'Пробег КО-829'!F41</f>
        <v>41.919465012277627</v>
      </c>
      <c r="J11" s="223">
        <f>'Пробег КО-829'!F44</f>
        <v>41.919465012277627</v>
      </c>
      <c r="K11" s="223">
        <f>'Пробег КО-829'!F42</f>
        <v>41.919465012277641</v>
      </c>
      <c r="L11" s="223">
        <f>'Пробег КО-829'!F45</f>
        <v>41.919465012277627</v>
      </c>
      <c r="M11" s="223">
        <f>'Пробег КО-829'!F43</f>
        <v>13.973155004092542</v>
      </c>
      <c r="N11" s="223">
        <f>M11</f>
        <v>13.973155004092542</v>
      </c>
      <c r="O11" s="223">
        <f>M11</f>
        <v>13.973155004092542</v>
      </c>
      <c r="P11" s="223">
        <f>M11</f>
        <v>13.973155004092542</v>
      </c>
      <c r="Q11" s="223">
        <f>N11</f>
        <v>13.973155004092542</v>
      </c>
    </row>
    <row r="12" spans="1:17" ht="11.25" customHeight="1" x14ac:dyDescent="0.25">
      <c r="A12" s="283">
        <v>4</v>
      </c>
      <c r="B12" s="463" t="s">
        <v>113</v>
      </c>
      <c r="C12" s="464"/>
      <c r="D12" s="221" t="s">
        <v>103</v>
      </c>
      <c r="E12" s="471"/>
      <c r="F12" s="472"/>
      <c r="G12" s="472"/>
      <c r="H12" s="223">
        <v>11.77</v>
      </c>
      <c r="I12" s="223">
        <f>'Пробег КО-829'!H41</f>
        <v>11.772421756166255</v>
      </c>
      <c r="J12" s="223">
        <f>'Пробег КО-829'!H44</f>
        <v>11.772421756166256</v>
      </c>
      <c r="K12" s="223">
        <f>'Пробег КО-829'!H42</f>
        <v>11.77242175616626</v>
      </c>
      <c r="L12" s="223">
        <f>'Пробег КО-829'!H45</f>
        <v>11.772421756166256</v>
      </c>
      <c r="M12" s="223">
        <f>'Пробег КО-829'!H43</f>
        <v>3.9241405853887521</v>
      </c>
      <c r="N12" s="223">
        <f>M12</f>
        <v>3.9241405853887521</v>
      </c>
      <c r="O12" s="223">
        <f>M12</f>
        <v>3.9241405853887521</v>
      </c>
      <c r="P12" s="223">
        <f>M12</f>
        <v>3.9241405853887521</v>
      </c>
      <c r="Q12" s="223">
        <f>N12</f>
        <v>3.9241405853887521</v>
      </c>
    </row>
    <row r="13" spans="1:17" ht="11.25" customHeight="1" x14ac:dyDescent="0.25">
      <c r="A13" s="283">
        <v>5</v>
      </c>
      <c r="B13" s="463" t="s">
        <v>114</v>
      </c>
      <c r="C13" s="464"/>
      <c r="D13" s="224" t="s">
        <v>399</v>
      </c>
      <c r="E13" s="227"/>
      <c r="F13" s="287"/>
      <c r="G13" s="287"/>
      <c r="H13" s="229">
        <v>0.34</v>
      </c>
      <c r="I13" s="307">
        <v>0.61</v>
      </c>
      <c r="J13" s="229">
        <v>0.61</v>
      </c>
      <c r="K13" s="229">
        <v>0.745</v>
      </c>
      <c r="L13" s="229">
        <v>0.745</v>
      </c>
      <c r="M13" s="229">
        <v>0.61</v>
      </c>
      <c r="N13" s="229">
        <v>0.61</v>
      </c>
      <c r="O13" s="229">
        <v>0.61</v>
      </c>
      <c r="P13" s="229">
        <v>0.61</v>
      </c>
      <c r="Q13" s="229">
        <v>0.61</v>
      </c>
    </row>
    <row r="14" spans="1:17" ht="11.25" customHeight="1" x14ac:dyDescent="0.25">
      <c r="A14" s="283"/>
      <c r="B14" s="230"/>
      <c r="C14" s="231" t="s">
        <v>250</v>
      </c>
      <c r="D14" s="221" t="s">
        <v>103</v>
      </c>
      <c r="E14" s="289">
        <v>29.95</v>
      </c>
      <c r="F14" s="287" t="s">
        <v>103</v>
      </c>
      <c r="G14" s="289"/>
      <c r="H14" s="223">
        <f>H13*$E$14</f>
        <v>10.183</v>
      </c>
      <c r="I14" s="223">
        <f t="shared" ref="I14:Q14" si="1">I13*$E$14</f>
        <v>18.269500000000001</v>
      </c>
      <c r="J14" s="223">
        <f t="shared" si="1"/>
        <v>18.269500000000001</v>
      </c>
      <c r="K14" s="223">
        <f t="shared" si="1"/>
        <v>22.312749999999998</v>
      </c>
      <c r="L14" s="223">
        <f t="shared" si="1"/>
        <v>22.312749999999998</v>
      </c>
      <c r="M14" s="223">
        <f>M13*$E$14</f>
        <v>18.269500000000001</v>
      </c>
      <c r="N14" s="223">
        <f t="shared" si="1"/>
        <v>18.269500000000001</v>
      </c>
      <c r="O14" s="223">
        <f t="shared" si="1"/>
        <v>18.269500000000001</v>
      </c>
      <c r="P14" s="223">
        <f t="shared" si="1"/>
        <v>18.269500000000001</v>
      </c>
      <c r="Q14" s="223">
        <f t="shared" si="1"/>
        <v>18.269500000000001</v>
      </c>
    </row>
    <row r="15" spans="1:17" ht="11.25" customHeight="1" x14ac:dyDescent="0.25">
      <c r="A15" s="283">
        <v>6</v>
      </c>
      <c r="B15" s="463" t="s">
        <v>117</v>
      </c>
      <c r="C15" s="464"/>
      <c r="D15" s="221"/>
      <c r="E15" s="472"/>
      <c r="F15" s="472"/>
      <c r="G15" s="472"/>
      <c r="H15" s="225"/>
      <c r="I15" s="225"/>
      <c r="J15" s="225"/>
      <c r="K15" s="225"/>
      <c r="L15" s="225"/>
      <c r="M15" s="225"/>
      <c r="N15" s="224"/>
      <c r="O15" s="224"/>
      <c r="P15" s="224"/>
      <c r="Q15" s="224"/>
    </row>
    <row r="16" spans="1:17" ht="12.75" customHeight="1" x14ac:dyDescent="0.25">
      <c r="A16" s="283"/>
      <c r="B16" s="230" t="s">
        <v>118</v>
      </c>
      <c r="C16" s="224"/>
      <c r="D16" s="221" t="s">
        <v>103</v>
      </c>
      <c r="E16" s="294">
        <v>2.8000000000000001E-2</v>
      </c>
      <c r="F16" s="290" t="s">
        <v>251</v>
      </c>
      <c r="G16" s="295">
        <v>142.52000000000001</v>
      </c>
      <c r="H16" s="225">
        <f>E16*$H$13*G16</f>
        <v>1.3567904000000002</v>
      </c>
      <c r="I16" s="225">
        <f>E16*$I$13*G16</f>
        <v>2.4342416000000004</v>
      </c>
      <c r="J16" s="225">
        <f>E16*$J$13*G16</f>
        <v>2.4342416000000004</v>
      </c>
      <c r="K16" s="225">
        <f>E16*$K$13*G16</f>
        <v>2.9729672000000003</v>
      </c>
      <c r="L16" s="225">
        <f>E16*$L$13*G16</f>
        <v>2.9729672000000003</v>
      </c>
      <c r="M16" s="225">
        <f>E16*$M$13*G16</f>
        <v>2.4342416000000004</v>
      </c>
      <c r="N16" s="225">
        <f>E16*$N$13*G16</f>
        <v>2.4342416000000004</v>
      </c>
      <c r="O16" s="225">
        <f>E16*$O$13*G16</f>
        <v>2.4342416000000004</v>
      </c>
      <c r="P16" s="225">
        <f>E16*$P$13*G16</f>
        <v>2.4342416000000004</v>
      </c>
      <c r="Q16" s="225">
        <f>E16*$Q$13*G16</f>
        <v>2.4342416000000004</v>
      </c>
    </row>
    <row r="17" spans="1:17" ht="14.25" customHeight="1" x14ac:dyDescent="0.25">
      <c r="A17" s="283"/>
      <c r="B17" s="230" t="s">
        <v>120</v>
      </c>
      <c r="C17" s="224"/>
      <c r="D17" s="221" t="s">
        <v>103</v>
      </c>
      <c r="E17" s="294">
        <v>4.0000000000000001E-3</v>
      </c>
      <c r="F17" s="291" t="s">
        <v>121</v>
      </c>
      <c r="G17" s="295">
        <v>88.65</v>
      </c>
      <c r="H17" s="225">
        <f>E17*$H$13*G17</f>
        <v>0.12056400000000002</v>
      </c>
      <c r="I17" s="225">
        <f>E17*$I$13*G17</f>
        <v>0.216306</v>
      </c>
      <c r="J17" s="225">
        <f>E17*$J$13*G17</f>
        <v>0.216306</v>
      </c>
      <c r="K17" s="225">
        <f>E17*$K$13*G17</f>
        <v>0.264177</v>
      </c>
      <c r="L17" s="225">
        <f>E17*$L$13*G17</f>
        <v>0.264177</v>
      </c>
      <c r="M17" s="225">
        <f>E17*$M$13*G17</f>
        <v>0.216306</v>
      </c>
      <c r="N17" s="225">
        <f>E17*$N$13*G17</f>
        <v>0.216306</v>
      </c>
      <c r="O17" s="225">
        <f>E17*$O$13*G17</f>
        <v>0.216306</v>
      </c>
      <c r="P17" s="225">
        <f>E17*$P$13*G17</f>
        <v>0.216306</v>
      </c>
      <c r="Q17" s="225">
        <f>E17*$Q$13*G17</f>
        <v>0.216306</v>
      </c>
    </row>
    <row r="18" spans="1:17" ht="12.75" customHeight="1" x14ac:dyDescent="0.25">
      <c r="A18" s="283"/>
      <c r="B18" s="466" t="s">
        <v>122</v>
      </c>
      <c r="C18" s="467"/>
      <c r="D18" s="221" t="s">
        <v>103</v>
      </c>
      <c r="E18" s="294">
        <v>1.4999999999999999E-2</v>
      </c>
      <c r="F18" s="291" t="s">
        <v>121</v>
      </c>
      <c r="G18" s="295">
        <v>56.75</v>
      </c>
      <c r="H18" s="225">
        <f>E18*$H$13*G18</f>
        <v>0.28942500000000004</v>
      </c>
      <c r="I18" s="225">
        <f>E18*$I$13*G18</f>
        <v>0.51926249999999996</v>
      </c>
      <c r="J18" s="225">
        <f>E18*$J$13*G18</f>
        <v>0.51926249999999996</v>
      </c>
      <c r="K18" s="225">
        <f>E18*$K$13*G18</f>
        <v>0.63418124999999992</v>
      </c>
      <c r="L18" s="225">
        <f>E18*$L$13*G18</f>
        <v>0.63418124999999992</v>
      </c>
      <c r="M18" s="225">
        <f>E18*$M$13*G18</f>
        <v>0.51926249999999996</v>
      </c>
      <c r="N18" s="225">
        <f>E18*$N$13*G18</f>
        <v>0.51926249999999996</v>
      </c>
      <c r="O18" s="225">
        <f>E18*$O$13*G18</f>
        <v>0.51926249999999996</v>
      </c>
      <c r="P18" s="225">
        <f>E18*$P$13*G18</f>
        <v>0.51926249999999996</v>
      </c>
      <c r="Q18" s="225">
        <f>E18*$Q$13*G18</f>
        <v>0.51926249999999996</v>
      </c>
    </row>
    <row r="19" spans="1:17" ht="12.75" customHeight="1" x14ac:dyDescent="0.25">
      <c r="A19" s="283"/>
      <c r="B19" s="466" t="s">
        <v>123</v>
      </c>
      <c r="C19" s="467"/>
      <c r="D19" s="221" t="s">
        <v>103</v>
      </c>
      <c r="E19" s="294">
        <v>3.5000000000000003E-2</v>
      </c>
      <c r="F19" s="291" t="s">
        <v>121</v>
      </c>
      <c r="G19" s="295">
        <v>100.17</v>
      </c>
      <c r="H19" s="225">
        <f>E19*$H$13*G19</f>
        <v>1.1920230000000003</v>
      </c>
      <c r="I19" s="225">
        <f>E19*$I$13*G19</f>
        <v>2.1386295</v>
      </c>
      <c r="J19" s="225">
        <f>E19*$J$13*G19</f>
        <v>2.1386295</v>
      </c>
      <c r="K19" s="225">
        <f>E19*$K$13*G19</f>
        <v>2.6119327500000002</v>
      </c>
      <c r="L19" s="225">
        <f>E19*$L$13*G19</f>
        <v>2.6119327500000002</v>
      </c>
      <c r="M19" s="225">
        <f>E19*$M$13*G19</f>
        <v>2.1386295</v>
      </c>
      <c r="N19" s="225">
        <f>E19*$N$13*G19</f>
        <v>2.1386295</v>
      </c>
      <c r="O19" s="225">
        <f>E19*$O$13*G19</f>
        <v>2.1386295</v>
      </c>
      <c r="P19" s="225">
        <f>E19*$P$13*G19</f>
        <v>2.1386295</v>
      </c>
      <c r="Q19" s="225">
        <f>E19*$Q$13*G19</f>
        <v>2.1386295</v>
      </c>
    </row>
    <row r="20" spans="1:17" ht="14.25" customHeight="1" x14ac:dyDescent="0.25">
      <c r="A20" s="283"/>
      <c r="B20" s="466" t="s">
        <v>124</v>
      </c>
      <c r="C20" s="467"/>
      <c r="D20" s="221"/>
      <c r="E20" s="460"/>
      <c r="F20" s="461"/>
      <c r="G20" s="462"/>
      <c r="H20" s="223">
        <f>SUM(H16:H19)</f>
        <v>2.9588024000000006</v>
      </c>
      <c r="I20" s="223">
        <f>SUM(I16:I19)</f>
        <v>5.3084395999999998</v>
      </c>
      <c r="J20" s="223">
        <f t="shared" ref="J20:Q20" si="2">SUM(J16:J19)</f>
        <v>5.3084395999999998</v>
      </c>
      <c r="K20" s="223">
        <f t="shared" si="2"/>
        <v>6.4832582000000007</v>
      </c>
      <c r="L20" s="223">
        <f t="shared" si="2"/>
        <v>6.4832582000000007</v>
      </c>
      <c r="M20" s="223">
        <f t="shared" si="2"/>
        <v>5.3084395999999998</v>
      </c>
      <c r="N20" s="223">
        <f t="shared" si="2"/>
        <v>5.3084395999999998</v>
      </c>
      <c r="O20" s="223">
        <f t="shared" si="2"/>
        <v>5.3084395999999998</v>
      </c>
      <c r="P20" s="223">
        <f t="shared" si="2"/>
        <v>5.3084395999999998</v>
      </c>
      <c r="Q20" s="223">
        <f t="shared" si="2"/>
        <v>5.3084395999999998</v>
      </c>
    </row>
    <row r="21" spans="1:17" ht="12.75" customHeight="1" x14ac:dyDescent="0.25">
      <c r="A21" s="283">
        <v>7</v>
      </c>
      <c r="B21" s="463" t="s">
        <v>252</v>
      </c>
      <c r="C21" s="464"/>
      <c r="D21" s="226" t="s">
        <v>253</v>
      </c>
      <c r="E21" s="477"/>
      <c r="F21" s="478"/>
      <c r="G21" s="479"/>
      <c r="H21" s="225"/>
      <c r="I21" s="225"/>
      <c r="J21" s="225"/>
      <c r="K21" s="225"/>
      <c r="L21" s="225"/>
      <c r="M21" s="225">
        <f>120/1000*1000</f>
        <v>120</v>
      </c>
      <c r="N21" s="225">
        <f>120/1000*1000</f>
        <v>120</v>
      </c>
      <c r="O21" s="225">
        <f>30/1000*1000</f>
        <v>30</v>
      </c>
      <c r="P21" s="225">
        <f>40/1000*1000</f>
        <v>40</v>
      </c>
      <c r="Q21" s="225">
        <v>40</v>
      </c>
    </row>
    <row r="22" spans="1:17" ht="12.75" customHeight="1" x14ac:dyDescent="0.25">
      <c r="A22" s="283"/>
      <c r="B22" s="466" t="s">
        <v>254</v>
      </c>
      <c r="C22" s="467"/>
      <c r="D22" s="226"/>
      <c r="E22" s="455"/>
      <c r="F22" s="455"/>
      <c r="G22" s="455"/>
      <c r="H22" s="225"/>
      <c r="I22" s="225"/>
      <c r="J22" s="225"/>
      <c r="K22" s="225"/>
      <c r="L22" s="225"/>
      <c r="M22" s="236" t="s">
        <v>255</v>
      </c>
      <c r="N22" s="236" t="s">
        <v>256</v>
      </c>
      <c r="O22" s="236" t="s">
        <v>256</v>
      </c>
      <c r="P22" s="236" t="s">
        <v>257</v>
      </c>
      <c r="Q22" s="237" t="s">
        <v>255</v>
      </c>
    </row>
    <row r="23" spans="1:17" ht="12.75" customHeight="1" x14ac:dyDescent="0.25">
      <c r="A23" s="283"/>
      <c r="B23" s="466" t="s">
        <v>258</v>
      </c>
      <c r="C23" s="467"/>
      <c r="D23" s="221" t="s">
        <v>259</v>
      </c>
      <c r="E23" s="480">
        <f>0.4</f>
        <v>0.4</v>
      </c>
      <c r="F23" s="481"/>
      <c r="G23" s="481"/>
      <c r="H23" s="225"/>
      <c r="I23" s="225"/>
      <c r="J23" s="225"/>
      <c r="K23" s="225"/>
      <c r="L23" s="225"/>
      <c r="M23" s="223">
        <f>90*1000*0.0004</f>
        <v>36</v>
      </c>
      <c r="N23" s="223">
        <f>60*1000*0.0004</f>
        <v>24</v>
      </c>
      <c r="O23" s="223">
        <f>15*1000*0.0004</f>
        <v>6</v>
      </c>
      <c r="P23" s="223">
        <f>10*1000*0.0004</f>
        <v>4</v>
      </c>
      <c r="Q23" s="223">
        <f>30*E23</f>
        <v>12</v>
      </c>
    </row>
    <row r="24" spans="1:17" ht="12.75" customHeight="1" x14ac:dyDescent="0.25">
      <c r="A24" s="283"/>
      <c r="B24" s="466" t="s">
        <v>260</v>
      </c>
      <c r="C24" s="467"/>
      <c r="D24" s="221" t="s">
        <v>259</v>
      </c>
      <c r="E24" s="474">
        <f>3.5</f>
        <v>3.5</v>
      </c>
      <c r="F24" s="475"/>
      <c r="G24" s="476"/>
      <c r="H24" s="225"/>
      <c r="I24" s="225"/>
      <c r="J24" s="225"/>
      <c r="K24" s="225"/>
      <c r="L24" s="225"/>
      <c r="M24" s="223">
        <f>30*1000*0.0035</f>
        <v>105</v>
      </c>
      <c r="N24" s="223">
        <f>60*1000*0.0035</f>
        <v>210</v>
      </c>
      <c r="O24" s="223">
        <f>15*1000*0.0035</f>
        <v>52.5</v>
      </c>
      <c r="P24" s="293">
        <f>30*1000*0.0035</f>
        <v>105</v>
      </c>
      <c r="Q24" s="223">
        <f>10*E24</f>
        <v>35</v>
      </c>
    </row>
    <row r="25" spans="1:17" ht="12.75" customHeight="1" x14ac:dyDescent="0.25">
      <c r="A25" s="283"/>
      <c r="B25" s="466" t="s">
        <v>261</v>
      </c>
      <c r="C25" s="467"/>
      <c r="D25" s="221" t="s">
        <v>259</v>
      </c>
      <c r="E25" s="474"/>
      <c r="F25" s="475"/>
      <c r="G25" s="476"/>
      <c r="H25" s="225"/>
      <c r="I25" s="225"/>
      <c r="J25" s="225"/>
      <c r="K25" s="225"/>
      <c r="L25" s="225"/>
      <c r="M25" s="225">
        <f>M23+M24</f>
        <v>141</v>
      </c>
      <c r="N25" s="225">
        <f>N23+N24</f>
        <v>234</v>
      </c>
      <c r="O25" s="225">
        <f>O23+O24</f>
        <v>58.5</v>
      </c>
      <c r="P25" s="225">
        <f>P23+P24</f>
        <v>109</v>
      </c>
      <c r="Q25" s="225">
        <f>Q23+Q24</f>
        <v>47</v>
      </c>
    </row>
    <row r="26" spans="1:17" ht="12.75" customHeight="1" x14ac:dyDescent="0.25">
      <c r="A26" s="283">
        <v>8</v>
      </c>
      <c r="B26" s="463" t="s">
        <v>262</v>
      </c>
      <c r="C26" s="464"/>
      <c r="D26" s="284"/>
      <c r="E26" s="477" t="s">
        <v>263</v>
      </c>
      <c r="F26" s="478"/>
      <c r="G26" s="479"/>
      <c r="H26" s="238"/>
      <c r="I26" s="238"/>
      <c r="J26" s="238"/>
      <c r="K26" s="238"/>
      <c r="L26" s="238"/>
      <c r="M26" s="223"/>
      <c r="N26" s="223"/>
      <c r="O26" s="223"/>
      <c r="P26" s="223"/>
      <c r="Q26" s="223"/>
    </row>
    <row r="27" spans="1:17" ht="12.75" customHeight="1" x14ac:dyDescent="0.25">
      <c r="A27" s="283"/>
      <c r="B27" s="466" t="s">
        <v>264</v>
      </c>
      <c r="C27" s="467"/>
      <c r="D27" s="221" t="s">
        <v>265</v>
      </c>
      <c r="E27" s="297">
        <v>4200</v>
      </c>
      <c r="F27" s="482" t="s">
        <v>266</v>
      </c>
      <c r="G27" s="483"/>
      <c r="H27" s="238"/>
      <c r="I27" s="238"/>
      <c r="J27" s="238"/>
      <c r="K27" s="238"/>
      <c r="L27" s="238"/>
      <c r="M27" s="225">
        <f>$E$27/M21</f>
        <v>35</v>
      </c>
      <c r="N27" s="225">
        <f>$E$27/N21</f>
        <v>35</v>
      </c>
      <c r="O27" s="225">
        <f>$E$27/O21</f>
        <v>140</v>
      </c>
      <c r="P27" s="225">
        <f>$E$27/P21</f>
        <v>105</v>
      </c>
      <c r="Q27" s="225">
        <f>$E$27/Q21</f>
        <v>105</v>
      </c>
    </row>
    <row r="28" spans="1:17" ht="12.75" customHeight="1" x14ac:dyDescent="0.25">
      <c r="A28" s="283"/>
      <c r="B28" s="466" t="s">
        <v>267</v>
      </c>
      <c r="C28" s="467"/>
      <c r="D28" s="221" t="s">
        <v>259</v>
      </c>
      <c r="E28" s="296">
        <f>J50</f>
        <v>857.17008299999998</v>
      </c>
      <c r="F28" s="475" t="s">
        <v>400</v>
      </c>
      <c r="G28" s="476"/>
      <c r="H28" s="238"/>
      <c r="I28" s="238"/>
      <c r="J28" s="238"/>
      <c r="K28" s="238"/>
      <c r="L28" s="238"/>
      <c r="M28" s="223">
        <f>$E$28/M27</f>
        <v>24.4905738</v>
      </c>
      <c r="N28" s="223">
        <f>$E$28/N27</f>
        <v>24.4905738</v>
      </c>
      <c r="O28" s="223">
        <f>$E$28/O27</f>
        <v>6.12264345</v>
      </c>
      <c r="P28" s="223">
        <f>$E$28/P27</f>
        <v>8.1635246000000006</v>
      </c>
      <c r="Q28" s="223">
        <f>$E$28/Q27</f>
        <v>8.1635246000000006</v>
      </c>
    </row>
    <row r="29" spans="1:17" ht="12.75" customHeight="1" x14ac:dyDescent="0.25">
      <c r="A29" s="283">
        <v>9</v>
      </c>
      <c r="B29" s="463" t="s">
        <v>125</v>
      </c>
      <c r="C29" s="464"/>
      <c r="D29" s="226"/>
      <c r="E29" s="484">
        <v>0.62</v>
      </c>
      <c r="F29" s="485"/>
      <c r="G29" s="486"/>
      <c r="H29" s="223">
        <f>H9*E29</f>
        <v>2.3046285714285712</v>
      </c>
      <c r="I29" s="223">
        <f t="shared" ref="I29:Q29" si="3">I9*$E$29</f>
        <v>8.0662000000000003</v>
      </c>
      <c r="J29" s="223">
        <f t="shared" si="3"/>
        <v>8.0662000000000003</v>
      </c>
      <c r="K29" s="223">
        <f t="shared" si="3"/>
        <v>8.0662000000000003</v>
      </c>
      <c r="L29" s="223">
        <f t="shared" si="3"/>
        <v>8.0662000000000003</v>
      </c>
      <c r="M29" s="223">
        <f t="shared" si="3"/>
        <v>2.6887333333333334</v>
      </c>
      <c r="N29" s="223">
        <f t="shared" si="3"/>
        <v>2.6887333333333334</v>
      </c>
      <c r="O29" s="223">
        <f t="shared" si="3"/>
        <v>2.6887333333333334</v>
      </c>
      <c r="P29" s="223">
        <f t="shared" si="3"/>
        <v>2.6887333333333334</v>
      </c>
      <c r="Q29" s="223">
        <f t="shared" si="3"/>
        <v>2.6887333333333334</v>
      </c>
    </row>
    <row r="30" spans="1:17" ht="12.75" customHeight="1" x14ac:dyDescent="0.25">
      <c r="A30" s="283">
        <v>10</v>
      </c>
      <c r="B30" s="463" t="s">
        <v>126</v>
      </c>
      <c r="C30" s="464"/>
      <c r="D30" s="247"/>
      <c r="E30" s="487"/>
      <c r="F30" s="487"/>
      <c r="G30" s="487"/>
      <c r="H30" s="223">
        <f>H9+H10+H11+H12+H14+H20+H29</f>
        <v>73.976150971428552</v>
      </c>
      <c r="I30" s="223">
        <f>I9+I10+I11+I12+I14+I20+I29</f>
        <v>102.27504636844387</v>
      </c>
      <c r="J30" s="223">
        <f>J9+J10+J11+J12+J14+J20+J29</f>
        <v>102.27504636844387</v>
      </c>
      <c r="K30" s="223">
        <f>K9+K10+K11+K12+K14+K20+K29</f>
        <v>107.49311496844389</v>
      </c>
      <c r="L30" s="223">
        <f>L9+L10+L11+L12+L14+L20+L29</f>
        <v>107.49311496844386</v>
      </c>
      <c r="M30" s="223">
        <f>M9+M10+M11+M12+M14+M20+M23+M24+M28+M29</f>
        <v>215.30088232281463</v>
      </c>
      <c r="N30" s="223">
        <f>N9+N10+N11+N12+N14+N20+N23+N24+N28+N29</f>
        <v>308.30088232281463</v>
      </c>
      <c r="O30" s="293">
        <f>O9+O10+O11+O12+O14+O20+O23+O24+O28+O29</f>
        <v>114.43295197281462</v>
      </c>
      <c r="P30" s="293">
        <f>P9+P10+P11+P12+P14+P20+P23+P24+P28+P29</f>
        <v>166.97383312281463</v>
      </c>
      <c r="Q30" s="293">
        <f>Q9+Q10+Q11+Q12+Q14+Q20+Q23+Q24+Q28+Q29</f>
        <v>104.97383312281463</v>
      </c>
    </row>
    <row r="31" spans="1:17" ht="12.75" customHeight="1" x14ac:dyDescent="0.25">
      <c r="A31" s="283">
        <v>11</v>
      </c>
      <c r="B31" s="463" t="s">
        <v>127</v>
      </c>
      <c r="C31" s="464"/>
      <c r="D31" s="247"/>
      <c r="E31" s="477"/>
      <c r="F31" s="478"/>
      <c r="G31" s="479"/>
      <c r="H31" s="223"/>
      <c r="I31" s="223"/>
      <c r="J31" s="223"/>
      <c r="K31" s="223"/>
      <c r="L31" s="223"/>
      <c r="M31" s="223"/>
      <c r="N31" s="283"/>
      <c r="O31" s="283"/>
      <c r="P31" s="283"/>
      <c r="Q31" s="283"/>
    </row>
    <row r="32" spans="1:17" ht="22.5" customHeight="1" x14ac:dyDescent="0.25">
      <c r="A32" s="224"/>
      <c r="B32" s="466" t="s">
        <v>128</v>
      </c>
      <c r="C32" s="467"/>
      <c r="D32" s="226" t="s">
        <v>103</v>
      </c>
      <c r="E32" s="484">
        <v>0.1</v>
      </c>
      <c r="F32" s="485"/>
      <c r="G32" s="486"/>
      <c r="H32" s="225">
        <f>H30*E32</f>
        <v>7.3976150971428556</v>
      </c>
      <c r="I32" s="225">
        <f t="shared" ref="I32:Q32" si="4">I30*$E$32</f>
        <v>10.227504636844387</v>
      </c>
      <c r="J32" s="225">
        <f t="shared" si="4"/>
        <v>10.227504636844387</v>
      </c>
      <c r="K32" s="225">
        <f t="shared" si="4"/>
        <v>10.74931149684439</v>
      </c>
      <c r="L32" s="225">
        <f t="shared" si="4"/>
        <v>10.749311496844387</v>
      </c>
      <c r="M32" s="225">
        <f t="shared" si="4"/>
        <v>21.530088232281464</v>
      </c>
      <c r="N32" s="225">
        <f t="shared" si="4"/>
        <v>30.830088232281465</v>
      </c>
      <c r="O32" s="225">
        <f t="shared" si="4"/>
        <v>11.443295197281463</v>
      </c>
      <c r="P32" s="225">
        <f t="shared" si="4"/>
        <v>16.697383312281463</v>
      </c>
      <c r="Q32" s="225">
        <f t="shared" si="4"/>
        <v>10.497383312281464</v>
      </c>
    </row>
    <row r="33" spans="1:17" ht="22.5" customHeight="1" x14ac:dyDescent="0.25">
      <c r="A33" s="224"/>
      <c r="B33" s="466" t="s">
        <v>129</v>
      </c>
      <c r="C33" s="467"/>
      <c r="D33" s="226" t="s">
        <v>103</v>
      </c>
      <c r="E33" s="484">
        <v>0.15</v>
      </c>
      <c r="F33" s="485"/>
      <c r="G33" s="486"/>
      <c r="H33" s="225">
        <f>H30*E33</f>
        <v>11.096422645714282</v>
      </c>
      <c r="I33" s="225">
        <f t="shared" ref="I33:Q33" si="5">I30*$E$33</f>
        <v>15.34125695526658</v>
      </c>
      <c r="J33" s="225">
        <f t="shared" si="5"/>
        <v>15.34125695526658</v>
      </c>
      <c r="K33" s="225">
        <f t="shared" si="5"/>
        <v>16.123967245266584</v>
      </c>
      <c r="L33" s="225">
        <f t="shared" si="5"/>
        <v>16.123967245266577</v>
      </c>
      <c r="M33" s="225">
        <f t="shared" si="5"/>
        <v>32.295132348422193</v>
      </c>
      <c r="N33" s="225">
        <f t="shared" si="5"/>
        <v>46.245132348422196</v>
      </c>
      <c r="O33" s="225">
        <f t="shared" si="5"/>
        <v>17.164942795922194</v>
      </c>
      <c r="P33" s="225">
        <f t="shared" si="5"/>
        <v>25.046074968422193</v>
      </c>
      <c r="Q33" s="225">
        <f t="shared" si="5"/>
        <v>15.746074968422192</v>
      </c>
    </row>
    <row r="34" spans="1:17" ht="20.25" customHeight="1" x14ac:dyDescent="0.25">
      <c r="A34" s="448" t="s">
        <v>14</v>
      </c>
      <c r="B34" s="450" t="s">
        <v>100</v>
      </c>
      <c r="C34" s="450"/>
      <c r="D34" s="450" t="s">
        <v>237</v>
      </c>
      <c r="E34" s="451" t="s">
        <v>238</v>
      </c>
      <c r="F34" s="452"/>
      <c r="G34" s="453"/>
      <c r="H34" s="450" t="s">
        <v>239</v>
      </c>
      <c r="I34" s="465" t="s">
        <v>240</v>
      </c>
      <c r="J34" s="450" t="s">
        <v>241</v>
      </c>
      <c r="K34" s="450" t="s">
        <v>242</v>
      </c>
      <c r="L34" s="459" t="s">
        <v>434</v>
      </c>
      <c r="M34" s="460" t="s">
        <v>243</v>
      </c>
      <c r="N34" s="461"/>
      <c r="O34" s="461"/>
      <c r="P34" s="461"/>
      <c r="Q34" s="462"/>
    </row>
    <row r="35" spans="1:17" ht="48" customHeight="1" x14ac:dyDescent="0.25">
      <c r="A35" s="449"/>
      <c r="B35" s="450"/>
      <c r="C35" s="450"/>
      <c r="D35" s="450"/>
      <c r="E35" s="454"/>
      <c r="F35" s="455"/>
      <c r="G35" s="456"/>
      <c r="H35" s="450"/>
      <c r="I35" s="465"/>
      <c r="J35" s="450"/>
      <c r="K35" s="450"/>
      <c r="L35" s="459"/>
      <c r="M35" s="288" t="s">
        <v>244</v>
      </c>
      <c r="N35" s="288" t="s">
        <v>245</v>
      </c>
      <c r="O35" s="288" t="s">
        <v>246</v>
      </c>
      <c r="P35" s="288" t="s">
        <v>247</v>
      </c>
      <c r="Q35" s="288" t="s">
        <v>248</v>
      </c>
    </row>
    <row r="36" spans="1:17" ht="23.25" customHeight="1" x14ac:dyDescent="0.25">
      <c r="A36" s="224"/>
      <c r="B36" s="466" t="s">
        <v>128</v>
      </c>
      <c r="C36" s="467"/>
      <c r="D36" s="226" t="s">
        <v>103</v>
      </c>
      <c r="E36" s="460"/>
      <c r="F36" s="461"/>
      <c r="G36" s="462"/>
      <c r="H36" s="223">
        <f t="shared" ref="H36:Q36" si="6">H30+H32</f>
        <v>81.373766068571413</v>
      </c>
      <c r="I36" s="223">
        <f t="shared" si="6"/>
        <v>112.50255100528825</v>
      </c>
      <c r="J36" s="223">
        <f t="shared" si="6"/>
        <v>112.50255100528825</v>
      </c>
      <c r="K36" s="223">
        <f t="shared" si="6"/>
        <v>118.24242646528828</v>
      </c>
      <c r="L36" s="223">
        <f t="shared" si="6"/>
        <v>118.24242646528825</v>
      </c>
      <c r="M36" s="223">
        <f t="shared" si="6"/>
        <v>236.83097055509609</v>
      </c>
      <c r="N36" s="223">
        <f t="shared" si="6"/>
        <v>339.1309705550961</v>
      </c>
      <c r="O36" s="293">
        <f t="shared" si="6"/>
        <v>125.87624717009608</v>
      </c>
      <c r="P36" s="293">
        <f t="shared" si="6"/>
        <v>183.67121643509608</v>
      </c>
      <c r="Q36" s="293">
        <f t="shared" si="6"/>
        <v>115.4712164350961</v>
      </c>
    </row>
    <row r="37" spans="1:17" ht="24.75" customHeight="1" x14ac:dyDescent="0.25">
      <c r="A37" s="224"/>
      <c r="B37" s="466" t="s">
        <v>129</v>
      </c>
      <c r="C37" s="467"/>
      <c r="D37" s="226" t="s">
        <v>103</v>
      </c>
      <c r="E37" s="460"/>
      <c r="F37" s="461"/>
      <c r="G37" s="462"/>
      <c r="H37" s="251">
        <f t="shared" ref="H37:Q37" si="7">H30+H33</f>
        <v>85.072573617142837</v>
      </c>
      <c r="I37" s="223">
        <f t="shared" si="7"/>
        <v>117.61630332371044</v>
      </c>
      <c r="J37" s="223">
        <f t="shared" si="7"/>
        <v>117.61630332371044</v>
      </c>
      <c r="K37" s="223">
        <f t="shared" si="7"/>
        <v>123.61708221371048</v>
      </c>
      <c r="L37" s="223">
        <f t="shared" si="7"/>
        <v>123.61708221371043</v>
      </c>
      <c r="M37" s="223">
        <f t="shared" si="7"/>
        <v>247.59601467123682</v>
      </c>
      <c r="N37" s="223">
        <f t="shared" si="7"/>
        <v>354.54601467123683</v>
      </c>
      <c r="O37" s="293">
        <f t="shared" si="7"/>
        <v>131.59789476873681</v>
      </c>
      <c r="P37" s="293">
        <f t="shared" si="7"/>
        <v>192.01990809123683</v>
      </c>
      <c r="Q37" s="293">
        <f t="shared" si="7"/>
        <v>120.71990809123682</v>
      </c>
    </row>
    <row r="38" spans="1:17" ht="18.75" customHeight="1" x14ac:dyDescent="0.25">
      <c r="A38" s="111"/>
      <c r="B38" s="488" t="s">
        <v>268</v>
      </c>
      <c r="C38" s="488"/>
      <c r="D38" s="488"/>
      <c r="E38" s="488"/>
      <c r="F38" s="488"/>
      <c r="G38" s="488"/>
      <c r="H38" s="488"/>
      <c r="I38" s="252"/>
      <c r="J38" s="111"/>
      <c r="K38" s="111"/>
      <c r="L38" s="111"/>
      <c r="M38" s="111"/>
      <c r="N38" s="111"/>
      <c r="O38" s="111"/>
      <c r="P38" s="111"/>
      <c r="Q38" s="111"/>
    </row>
    <row r="39" spans="1:17" ht="15.75" x14ac:dyDescent="0.25">
      <c r="A39" s="489" t="s">
        <v>452</v>
      </c>
      <c r="B39" s="489"/>
      <c r="C39" s="489"/>
      <c r="D39" s="489"/>
      <c r="E39" s="489"/>
      <c r="F39" s="489"/>
      <c r="G39" s="489"/>
      <c r="H39" s="253"/>
      <c r="I39" s="253"/>
      <c r="J39" s="253"/>
      <c r="K39" s="253"/>
      <c r="L39" s="253"/>
      <c r="M39" s="253"/>
      <c r="N39" s="254"/>
      <c r="O39" s="254"/>
      <c r="P39" s="254"/>
      <c r="Q39" s="254"/>
    </row>
    <row r="40" spans="1:17" ht="15.75" x14ac:dyDescent="0.25">
      <c r="A40" s="489" t="s">
        <v>269</v>
      </c>
      <c r="B40" s="489"/>
      <c r="C40" s="489"/>
      <c r="D40" s="489"/>
      <c r="E40" s="489"/>
      <c r="F40" s="489"/>
      <c r="G40" s="489"/>
      <c r="H40" s="489"/>
      <c r="I40" s="253"/>
      <c r="J40" s="253"/>
      <c r="K40" s="253"/>
      <c r="L40" s="253"/>
      <c r="M40" s="253"/>
      <c r="N40" s="254"/>
      <c r="O40" s="254"/>
      <c r="P40" s="254"/>
      <c r="Q40" s="254"/>
    </row>
    <row r="41" spans="1:17" ht="15.75" x14ac:dyDescent="0.25">
      <c r="A41" s="489" t="s">
        <v>270</v>
      </c>
      <c r="B41" s="489"/>
      <c r="C41" s="489"/>
      <c r="D41" s="489"/>
      <c r="E41" s="489"/>
      <c r="F41" s="489"/>
      <c r="G41" s="286"/>
      <c r="H41" s="253"/>
      <c r="I41" s="253"/>
      <c r="J41" s="253"/>
      <c r="K41" s="253"/>
      <c r="L41" s="253"/>
      <c r="M41" s="253"/>
      <c r="N41" s="254"/>
      <c r="O41" s="254"/>
      <c r="P41" s="254"/>
      <c r="Q41" s="254"/>
    </row>
    <row r="42" spans="1:17" ht="15.75" x14ac:dyDescent="0.25">
      <c r="A42" s="489" t="s">
        <v>453</v>
      </c>
      <c r="B42" s="489"/>
      <c r="C42" s="489"/>
      <c r="D42" s="489"/>
      <c r="E42" s="489"/>
      <c r="F42" s="489"/>
      <c r="G42" s="489"/>
      <c r="H42" s="489"/>
      <c r="I42" s="489"/>
      <c r="J42" s="489"/>
      <c r="K42" s="489"/>
      <c r="L42" s="489"/>
      <c r="M42" s="489"/>
      <c r="N42" s="489"/>
      <c r="O42" s="489"/>
      <c r="P42" s="489"/>
      <c r="Q42" s="254"/>
    </row>
    <row r="43" spans="1:17" ht="27.75" customHeight="1" x14ac:dyDescent="0.25">
      <c r="A43" s="489" t="s">
        <v>271</v>
      </c>
      <c r="B43" s="489"/>
      <c r="C43" s="489"/>
      <c r="D43" s="489"/>
      <c r="E43" s="489"/>
      <c r="F43" s="489"/>
      <c r="G43" s="489"/>
      <c r="H43" s="489"/>
      <c r="I43" s="489"/>
      <c r="J43" s="489"/>
      <c r="K43" s="489"/>
      <c r="L43" s="489"/>
      <c r="M43" s="489"/>
      <c r="N43" s="489"/>
      <c r="O43" s="489"/>
      <c r="P43" s="489"/>
      <c r="Q43" s="254"/>
    </row>
    <row r="44" spans="1:17" ht="12" customHeight="1" x14ac:dyDescent="0.25">
      <c r="A44" s="286"/>
      <c r="B44" s="286"/>
      <c r="C44" s="286"/>
      <c r="D44" s="286"/>
      <c r="E44" s="286"/>
      <c r="F44" s="286"/>
      <c r="G44" s="286"/>
      <c r="H44" s="286"/>
      <c r="I44" s="286"/>
      <c r="J44" s="286"/>
      <c r="K44" s="286"/>
      <c r="L44" s="286"/>
      <c r="M44" s="286"/>
      <c r="N44" s="286"/>
      <c r="O44" s="286"/>
      <c r="P44" s="286"/>
      <c r="Q44" s="254"/>
    </row>
    <row r="45" spans="1:17" ht="17.25" customHeight="1" x14ac:dyDescent="0.25">
      <c r="A45" s="365" t="s">
        <v>437</v>
      </c>
      <c r="B45" s="365"/>
      <c r="C45" s="365"/>
      <c r="D45" s="365"/>
      <c r="E45" s="365"/>
      <c r="F45" s="365"/>
      <c r="G45" s="365"/>
      <c r="H45" s="365"/>
      <c r="I45" s="365"/>
      <c r="J45" s="365"/>
      <c r="K45" s="365"/>
      <c r="L45" s="365"/>
      <c r="M45" s="365"/>
      <c r="N45" s="365"/>
      <c r="O45" s="365"/>
      <c r="P45" s="365"/>
      <c r="Q45" s="365"/>
    </row>
    <row r="46" spans="1:17" ht="17.25" customHeight="1" x14ac:dyDescent="0.25">
      <c r="A46" s="282"/>
      <c r="B46" s="282" t="s">
        <v>438</v>
      </c>
      <c r="C46" s="282"/>
      <c r="D46" s="282"/>
      <c r="E46" s="282"/>
      <c r="F46" s="282"/>
      <c r="G46" s="282"/>
      <c r="H46" s="282"/>
      <c r="I46" s="282"/>
      <c r="J46" s="282"/>
      <c r="K46" s="282"/>
      <c r="L46" s="282"/>
      <c r="M46" s="282"/>
      <c r="N46" s="282"/>
      <c r="O46" s="282"/>
      <c r="P46" s="282"/>
      <c r="Q46" s="282"/>
    </row>
    <row r="47" spans="1:17" ht="15.75" x14ac:dyDescent="0.25">
      <c r="A47" s="365" t="s">
        <v>436</v>
      </c>
      <c r="B47" s="365"/>
      <c r="C47" s="365"/>
      <c r="D47" s="365"/>
      <c r="E47" s="365"/>
      <c r="F47" s="365"/>
      <c r="G47" s="365"/>
      <c r="H47" s="365"/>
      <c r="I47" s="365"/>
      <c r="J47" s="365"/>
      <c r="K47" s="365"/>
      <c r="L47" s="365"/>
      <c r="M47" s="365"/>
      <c r="N47" s="365"/>
      <c r="O47" s="365"/>
      <c r="P47" s="365"/>
      <c r="Q47" s="365"/>
    </row>
    <row r="48" spans="1:17" ht="15.75" x14ac:dyDescent="0.25">
      <c r="A48" s="282"/>
      <c r="B48" s="282" t="s">
        <v>435</v>
      </c>
      <c r="C48" s="282"/>
      <c r="D48" s="282"/>
      <c r="E48" s="282"/>
      <c r="F48" s="282"/>
      <c r="G48" s="282"/>
      <c r="H48" s="282"/>
      <c r="I48" s="282"/>
      <c r="J48" s="282"/>
      <c r="K48" s="282"/>
      <c r="L48" s="282"/>
      <c r="M48" s="282"/>
      <c r="N48" s="282"/>
      <c r="O48" s="282"/>
      <c r="P48" s="282"/>
      <c r="Q48" s="282"/>
    </row>
    <row r="49" spans="1:17" ht="15.75" x14ac:dyDescent="0.25">
      <c r="A49" s="489" t="s">
        <v>449</v>
      </c>
      <c r="B49" s="489"/>
      <c r="C49" s="489"/>
      <c r="D49" s="489"/>
      <c r="E49" s="489"/>
      <c r="F49" s="489"/>
      <c r="G49" s="489"/>
      <c r="H49" s="489"/>
      <c r="I49" s="489"/>
      <c r="J49" s="489"/>
      <c r="K49" s="489"/>
      <c r="L49" s="489"/>
      <c r="M49" s="489"/>
      <c r="N49" s="489"/>
      <c r="O49" s="489"/>
      <c r="P49" s="489"/>
      <c r="Q49" s="254"/>
    </row>
    <row r="50" spans="1:17" ht="42" customHeight="1" x14ac:dyDescent="0.25">
      <c r="A50" s="491" t="s">
        <v>272</v>
      </c>
      <c r="B50" s="491"/>
      <c r="C50" s="491"/>
      <c r="D50" s="308">
        <f>'МТЗ-80 с тележкой'!F40</f>
        <v>734.71721400000001</v>
      </c>
      <c r="E50" s="309" t="s">
        <v>273</v>
      </c>
      <c r="F50" s="310">
        <v>60</v>
      </c>
      <c r="G50" s="309" t="s">
        <v>274</v>
      </c>
      <c r="H50" s="310">
        <v>70</v>
      </c>
      <c r="I50" s="309" t="s">
        <v>275</v>
      </c>
      <c r="J50" s="309">
        <f>D50/F50*H50</f>
        <v>857.17008299999998</v>
      </c>
      <c r="K50" s="310" t="s">
        <v>103</v>
      </c>
      <c r="L50" s="489"/>
      <c r="M50" s="489"/>
      <c r="N50" s="489"/>
      <c r="O50" s="311"/>
      <c r="P50" s="311"/>
      <c r="Q50" s="254"/>
    </row>
    <row r="51" spans="1:17" ht="15.75" x14ac:dyDescent="0.25">
      <c r="A51" s="254"/>
      <c r="B51" s="286"/>
      <c r="C51" s="286"/>
      <c r="D51" s="286"/>
      <c r="E51" s="286"/>
      <c r="F51" s="254"/>
      <c r="G51" s="254"/>
      <c r="H51" s="254"/>
      <c r="I51" s="304"/>
      <c r="J51" s="254"/>
      <c r="K51" s="254"/>
      <c r="L51" s="254"/>
      <c r="M51" s="254"/>
      <c r="N51" s="254"/>
      <c r="O51" s="254"/>
      <c r="P51" s="254"/>
      <c r="Q51" s="254"/>
    </row>
    <row r="52" spans="1:17" ht="33" customHeight="1" x14ac:dyDescent="0.25">
      <c r="A52" s="489" t="s">
        <v>398</v>
      </c>
      <c r="B52" s="489"/>
      <c r="C52" s="489"/>
      <c r="D52" s="489"/>
      <c r="E52" s="489"/>
      <c r="F52" s="489"/>
      <c r="G52" s="489"/>
      <c r="H52" s="489"/>
      <c r="I52" s="489"/>
      <c r="J52" s="489"/>
      <c r="K52" s="489"/>
      <c r="L52" s="489"/>
      <c r="M52" s="489"/>
      <c r="N52" s="489"/>
      <c r="O52" s="489"/>
      <c r="P52" s="489"/>
      <c r="Q52" s="254"/>
    </row>
    <row r="53" spans="1:17" ht="15.75" x14ac:dyDescent="0.25">
      <c r="A53" s="111"/>
      <c r="B53" s="286"/>
      <c r="C53" s="286"/>
      <c r="D53" s="286"/>
      <c r="E53" s="286"/>
      <c r="F53" s="111"/>
      <c r="G53" s="111"/>
      <c r="H53" s="255"/>
      <c r="I53" s="255"/>
      <c r="J53" s="255"/>
      <c r="K53" s="255"/>
      <c r="L53" s="255"/>
      <c r="M53" s="255"/>
      <c r="N53" s="255"/>
      <c r="O53" s="255"/>
      <c r="P53" s="255"/>
      <c r="Q53" s="254"/>
    </row>
    <row r="54" spans="1:17" ht="15.75" x14ac:dyDescent="0.25">
      <c r="A54" s="254"/>
      <c r="B54" s="286"/>
      <c r="C54" s="286"/>
      <c r="D54" s="286"/>
      <c r="E54" s="286"/>
      <c r="F54" s="254"/>
      <c r="G54" s="254"/>
      <c r="H54" s="254"/>
      <c r="I54" s="304"/>
      <c r="J54" s="254"/>
      <c r="K54" s="254"/>
      <c r="L54" s="254"/>
      <c r="M54" s="254"/>
      <c r="N54" s="254"/>
      <c r="O54" s="254"/>
      <c r="P54" s="254"/>
      <c r="Q54" s="254"/>
    </row>
    <row r="55" spans="1:17" ht="15.75" x14ac:dyDescent="0.25">
      <c r="A55" s="312"/>
      <c r="B55" s="312"/>
      <c r="C55" s="492" t="s">
        <v>56</v>
      </c>
      <c r="D55" s="492"/>
      <c r="E55" s="492"/>
      <c r="F55" s="492"/>
      <c r="G55" s="87"/>
      <c r="H55" s="312"/>
      <c r="I55" s="493" t="s">
        <v>58</v>
      </c>
      <c r="J55" s="493"/>
      <c r="K55" s="493"/>
      <c r="L55" s="312"/>
      <c r="M55" s="312"/>
      <c r="N55" s="312"/>
      <c r="O55" s="312"/>
      <c r="P55" s="312"/>
      <c r="Q55" s="312"/>
    </row>
    <row r="56" spans="1:17" ht="15.75" x14ac:dyDescent="0.25">
      <c r="A56" s="312"/>
      <c r="B56" s="312"/>
      <c r="C56" s="490" t="s">
        <v>57</v>
      </c>
      <c r="D56" s="490"/>
      <c r="E56" s="490"/>
      <c r="F56" s="490"/>
      <c r="G56" s="313"/>
      <c r="H56" s="312"/>
      <c r="I56" s="312"/>
      <c r="J56" s="312"/>
      <c r="K56" s="312"/>
      <c r="L56" s="312"/>
      <c r="M56" s="312"/>
      <c r="N56" s="312"/>
      <c r="O56" s="312"/>
      <c r="P56" s="312"/>
      <c r="Q56" s="312"/>
    </row>
  </sheetData>
  <mergeCells count="85">
    <mergeCell ref="C56:F56"/>
    <mergeCell ref="A49:P49"/>
    <mergeCell ref="A50:C50"/>
    <mergeCell ref="L50:N50"/>
    <mergeCell ref="A52:P52"/>
    <mergeCell ref="C55:F55"/>
    <mergeCell ref="I55:K55"/>
    <mergeCell ref="A47:Q47"/>
    <mergeCell ref="B36:C36"/>
    <mergeCell ref="E36:G36"/>
    <mergeCell ref="B37:C37"/>
    <mergeCell ref="E37:G37"/>
    <mergeCell ref="B38:H38"/>
    <mergeCell ref="A39:G39"/>
    <mergeCell ref="A40:H40"/>
    <mergeCell ref="A41:F41"/>
    <mergeCell ref="A42:P42"/>
    <mergeCell ref="A43:P43"/>
    <mergeCell ref="A45:Q45"/>
    <mergeCell ref="M34:Q34"/>
    <mergeCell ref="B32:C32"/>
    <mergeCell ref="E32:G32"/>
    <mergeCell ref="B33:C33"/>
    <mergeCell ref="E33:G33"/>
    <mergeCell ref="H34:H35"/>
    <mergeCell ref="I34:I35"/>
    <mergeCell ref="J34:J35"/>
    <mergeCell ref="K34:K35"/>
    <mergeCell ref="L34:L35"/>
    <mergeCell ref="A34:A35"/>
    <mergeCell ref="B34:C35"/>
    <mergeCell ref="D34:D35"/>
    <mergeCell ref="E34:G35"/>
    <mergeCell ref="B29:C29"/>
    <mergeCell ref="E29:G29"/>
    <mergeCell ref="B30:C30"/>
    <mergeCell ref="E30:G30"/>
    <mergeCell ref="B31:C31"/>
    <mergeCell ref="E31:G31"/>
    <mergeCell ref="B26:C26"/>
    <mergeCell ref="E26:G26"/>
    <mergeCell ref="B27:C27"/>
    <mergeCell ref="F27:G27"/>
    <mergeCell ref="B28:C28"/>
    <mergeCell ref="F28:G28"/>
    <mergeCell ref="B24:C24"/>
    <mergeCell ref="E24:G24"/>
    <mergeCell ref="B25:C25"/>
    <mergeCell ref="E25:G25"/>
    <mergeCell ref="B21:C21"/>
    <mergeCell ref="E21:G21"/>
    <mergeCell ref="B22:C22"/>
    <mergeCell ref="E22:G22"/>
    <mergeCell ref="B23:C23"/>
    <mergeCell ref="E23:G23"/>
    <mergeCell ref="B9:C9"/>
    <mergeCell ref="H7:H8"/>
    <mergeCell ref="I7:I8"/>
    <mergeCell ref="B20:C20"/>
    <mergeCell ref="E20:G20"/>
    <mergeCell ref="B19:C19"/>
    <mergeCell ref="B18:C18"/>
    <mergeCell ref="B10:C10"/>
    <mergeCell ref="E10:G10"/>
    <mergeCell ref="B11:C11"/>
    <mergeCell ref="E11:G11"/>
    <mergeCell ref="B12:C12"/>
    <mergeCell ref="E12:G12"/>
    <mergeCell ref="B13:C13"/>
    <mergeCell ref="B15:C15"/>
    <mergeCell ref="E15:G15"/>
    <mergeCell ref="A7:A8"/>
    <mergeCell ref="B7:C8"/>
    <mergeCell ref="D7:D8"/>
    <mergeCell ref="E7:G8"/>
    <mergeCell ref="A6:P6"/>
    <mergeCell ref="J7:J8"/>
    <mergeCell ref="K7:K8"/>
    <mergeCell ref="L7:L8"/>
    <mergeCell ref="M7:Q7"/>
    <mergeCell ref="L1:Q1"/>
    <mergeCell ref="K2:Q2"/>
    <mergeCell ref="K3:Q3"/>
    <mergeCell ref="K4:Q4"/>
    <mergeCell ref="A5:P5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50"/>
  <sheetViews>
    <sheetView workbookViewId="0">
      <selection activeCell="E10" sqref="E10"/>
    </sheetView>
  </sheetViews>
  <sheetFormatPr defaultRowHeight="15" x14ac:dyDescent="0.25"/>
  <cols>
    <col min="1" max="1" width="3.5703125" customWidth="1"/>
    <col min="2" max="2" width="17.28515625" customWidth="1"/>
    <col min="3" max="3" width="14.28515625" customWidth="1"/>
    <col min="5" max="5" width="7.5703125" customWidth="1"/>
    <col min="6" max="6" width="9.5703125" customWidth="1"/>
    <col min="7" max="7" width="6.7109375" customWidth="1"/>
    <col min="8" max="8" width="14" customWidth="1"/>
    <col min="9" max="9" width="15.42578125" customWidth="1"/>
  </cols>
  <sheetData>
    <row r="1" spans="1:9" ht="15.75" customHeight="1" x14ac:dyDescent="0.25">
      <c r="A1" s="96"/>
      <c r="B1" s="46"/>
      <c r="C1" s="46"/>
      <c r="D1" s="46"/>
      <c r="E1" s="46"/>
      <c r="F1" s="96"/>
      <c r="G1" s="346" t="s">
        <v>167</v>
      </c>
      <c r="H1" s="346"/>
      <c r="I1" s="346"/>
    </row>
    <row r="2" spans="1:9" ht="15.75" customHeight="1" x14ac:dyDescent="0.25">
      <c r="A2" s="95"/>
      <c r="B2" s="46"/>
      <c r="C2" s="46"/>
      <c r="D2" s="46"/>
      <c r="E2" s="46"/>
      <c r="F2" s="346" t="s">
        <v>61</v>
      </c>
      <c r="G2" s="346"/>
      <c r="H2" s="346"/>
      <c r="I2" s="346"/>
    </row>
    <row r="3" spans="1:9" ht="15.75" customHeight="1" x14ac:dyDescent="0.25">
      <c r="A3" s="95"/>
      <c r="B3" s="46"/>
      <c r="C3" s="46"/>
      <c r="D3" s="46"/>
      <c r="E3" s="46"/>
      <c r="F3" s="346" t="s">
        <v>416</v>
      </c>
      <c r="G3" s="346"/>
      <c r="H3" s="346"/>
      <c r="I3" s="346"/>
    </row>
    <row r="4" spans="1:9" ht="15.75" customHeight="1" x14ac:dyDescent="0.25">
      <c r="A4" s="95"/>
      <c r="B4" s="46"/>
      <c r="C4" s="46"/>
      <c r="D4" s="46"/>
      <c r="E4" s="46"/>
      <c r="F4" s="346" t="s">
        <v>425</v>
      </c>
      <c r="G4" s="346"/>
      <c r="H4" s="346"/>
      <c r="I4" s="346"/>
    </row>
    <row r="5" spans="1:9" ht="15.75" customHeight="1" x14ac:dyDescent="0.25">
      <c r="A5" s="447" t="s">
        <v>98</v>
      </c>
      <c r="B5" s="447"/>
      <c r="C5" s="447"/>
      <c r="D5" s="447"/>
      <c r="E5" s="447"/>
      <c r="F5" s="447"/>
      <c r="G5" s="447"/>
      <c r="H5" s="447"/>
      <c r="I5" s="447"/>
    </row>
    <row r="6" spans="1:9" ht="15.75" customHeight="1" x14ac:dyDescent="0.25">
      <c r="A6" s="458" t="s">
        <v>298</v>
      </c>
      <c r="B6" s="458"/>
      <c r="C6" s="458"/>
      <c r="D6" s="458"/>
      <c r="E6" s="458"/>
      <c r="F6" s="458"/>
      <c r="G6" s="458"/>
      <c r="H6" s="458"/>
      <c r="I6" s="458"/>
    </row>
    <row r="7" spans="1:9" ht="15.75" customHeight="1" x14ac:dyDescent="0.25">
      <c r="A7" s="458" t="s">
        <v>276</v>
      </c>
      <c r="B7" s="458"/>
      <c r="C7" s="458"/>
      <c r="D7" s="458"/>
      <c r="E7" s="458"/>
      <c r="F7" s="458"/>
      <c r="G7" s="458"/>
      <c r="H7" s="458"/>
      <c r="I7" s="458"/>
    </row>
    <row r="8" spans="1:9" ht="15" customHeight="1" x14ac:dyDescent="0.25">
      <c r="A8" s="448" t="s">
        <v>14</v>
      </c>
      <c r="B8" s="450" t="s">
        <v>100</v>
      </c>
      <c r="C8" s="450"/>
      <c r="D8" s="450" t="s">
        <v>237</v>
      </c>
      <c r="E8" s="451" t="s">
        <v>238</v>
      </c>
      <c r="F8" s="452"/>
      <c r="G8" s="453"/>
      <c r="H8" s="450" t="s">
        <v>277</v>
      </c>
      <c r="I8" s="450" t="s">
        <v>278</v>
      </c>
    </row>
    <row r="9" spans="1:9" x14ac:dyDescent="0.25">
      <c r="A9" s="449"/>
      <c r="B9" s="450"/>
      <c r="C9" s="450"/>
      <c r="D9" s="450"/>
      <c r="E9" s="454"/>
      <c r="F9" s="455"/>
      <c r="G9" s="456"/>
      <c r="H9" s="450"/>
      <c r="I9" s="450"/>
    </row>
    <row r="10" spans="1:9" ht="15" customHeight="1" x14ac:dyDescent="0.25">
      <c r="A10" s="97">
        <v>1</v>
      </c>
      <c r="B10" s="463" t="s">
        <v>279</v>
      </c>
      <c r="C10" s="464"/>
      <c r="D10" s="221" t="s">
        <v>103</v>
      </c>
      <c r="E10" s="222">
        <f>Снегоуборочная!J50</f>
        <v>857.17008299999998</v>
      </c>
      <c r="F10" s="110"/>
      <c r="G10" s="195"/>
      <c r="H10" s="223" t="s">
        <v>280</v>
      </c>
      <c r="I10" s="223">
        <f>E10*5</f>
        <v>4285.8504149999999</v>
      </c>
    </row>
    <row r="11" spans="1:9" x14ac:dyDescent="0.25">
      <c r="A11" s="97"/>
      <c r="B11" s="471"/>
      <c r="C11" s="473"/>
      <c r="D11" s="224"/>
      <c r="E11" s="471"/>
      <c r="F11" s="472"/>
      <c r="G11" s="473"/>
      <c r="H11" s="225"/>
      <c r="I11" s="223"/>
    </row>
    <row r="12" spans="1:9" ht="15" customHeight="1" x14ac:dyDescent="0.25">
      <c r="A12" s="97">
        <v>2</v>
      </c>
      <c r="B12" s="463" t="s">
        <v>281</v>
      </c>
      <c r="C12" s="464"/>
      <c r="D12" s="221" t="s">
        <v>282</v>
      </c>
      <c r="E12" s="468">
        <v>0.75</v>
      </c>
      <c r="F12" s="469"/>
      <c r="G12" s="470"/>
      <c r="H12" s="223" t="s">
        <v>283</v>
      </c>
      <c r="I12" s="223">
        <f>4200*E12/1000</f>
        <v>3.15</v>
      </c>
    </row>
    <row r="13" spans="1:9" ht="15" customHeight="1" x14ac:dyDescent="0.25">
      <c r="A13" s="97"/>
      <c r="B13" s="471" t="s">
        <v>284</v>
      </c>
      <c r="C13" s="473"/>
      <c r="D13" s="226"/>
      <c r="E13" s="494">
        <v>0.25</v>
      </c>
      <c r="F13" s="495"/>
      <c r="G13" s="496"/>
      <c r="H13" s="225"/>
      <c r="I13" s="223">
        <f>4200*E13/1000</f>
        <v>1.05</v>
      </c>
    </row>
    <row r="14" spans="1:9" ht="15.75" customHeight="1" x14ac:dyDescent="0.25">
      <c r="A14" s="97">
        <v>3</v>
      </c>
      <c r="B14" s="463" t="s">
        <v>285</v>
      </c>
      <c r="C14" s="464"/>
      <c r="D14" s="221" t="s">
        <v>103</v>
      </c>
      <c r="E14" s="497" t="s">
        <v>401</v>
      </c>
      <c r="F14" s="495"/>
      <c r="G14" s="496"/>
      <c r="H14" s="223" t="s">
        <v>280</v>
      </c>
      <c r="I14" s="223">
        <f>3.15*5*400</f>
        <v>6300</v>
      </c>
    </row>
    <row r="15" spans="1:9" ht="15.75" customHeight="1" x14ac:dyDescent="0.25">
      <c r="A15" s="97"/>
      <c r="B15" s="471" t="s">
        <v>284</v>
      </c>
      <c r="C15" s="473"/>
      <c r="D15" s="226"/>
      <c r="E15" s="497" t="s">
        <v>286</v>
      </c>
      <c r="F15" s="495"/>
      <c r="G15" s="496"/>
      <c r="H15" s="223" t="s">
        <v>287</v>
      </c>
      <c r="I15" s="223">
        <f>1.05*5*3500</f>
        <v>18375</v>
      </c>
    </row>
    <row r="16" spans="1:9" ht="15.75" customHeight="1" x14ac:dyDescent="0.25">
      <c r="A16" s="97"/>
      <c r="B16" s="248"/>
      <c r="C16" s="250"/>
      <c r="D16" s="226"/>
      <c r="E16" s="256"/>
      <c r="F16" s="228"/>
      <c r="G16" s="228"/>
      <c r="H16" s="223"/>
      <c r="I16" s="223"/>
    </row>
    <row r="17" spans="1:9" ht="15.75" customHeight="1" x14ac:dyDescent="0.25">
      <c r="A17" s="97"/>
      <c r="B17" s="248" t="s">
        <v>31</v>
      </c>
      <c r="C17" s="250"/>
      <c r="D17" s="226" t="s">
        <v>103</v>
      </c>
      <c r="E17" s="256"/>
      <c r="F17" s="228"/>
      <c r="G17" s="228"/>
      <c r="H17" s="223"/>
      <c r="I17" s="223">
        <f>I10+I14+I15</f>
        <v>28960.850415000001</v>
      </c>
    </row>
    <row r="18" spans="1:9" ht="15.75" customHeight="1" x14ac:dyDescent="0.25">
      <c r="A18" s="97"/>
      <c r="B18" s="248"/>
      <c r="C18" s="250"/>
      <c r="D18" s="226"/>
      <c r="E18" s="256"/>
      <c r="F18" s="228"/>
      <c r="G18" s="228"/>
      <c r="H18" s="223"/>
      <c r="I18" s="223"/>
    </row>
    <row r="19" spans="1:9" ht="15.75" customHeight="1" x14ac:dyDescent="0.25">
      <c r="A19" s="97">
        <v>4</v>
      </c>
      <c r="B19" s="463" t="s">
        <v>288</v>
      </c>
      <c r="C19" s="498"/>
      <c r="D19" s="226" t="s">
        <v>289</v>
      </c>
      <c r="E19" s="256">
        <v>130.1</v>
      </c>
      <c r="F19" s="228" t="s">
        <v>249</v>
      </c>
      <c r="G19" s="228"/>
      <c r="H19" s="223" t="s">
        <v>290</v>
      </c>
      <c r="I19" s="223">
        <f>E19*5</f>
        <v>650.5</v>
      </c>
    </row>
    <row r="20" spans="1:9" ht="15.75" customHeight="1" x14ac:dyDescent="0.25">
      <c r="A20" s="97"/>
      <c r="B20" s="248"/>
      <c r="C20" s="257"/>
      <c r="D20" s="226"/>
      <c r="E20" s="256"/>
      <c r="F20" s="228"/>
      <c r="G20" s="228"/>
      <c r="H20" s="223"/>
      <c r="I20" s="223"/>
    </row>
    <row r="21" spans="1:9" ht="15" customHeight="1" x14ac:dyDescent="0.25">
      <c r="A21" s="97">
        <v>5</v>
      </c>
      <c r="B21" s="463" t="s">
        <v>291</v>
      </c>
      <c r="C21" s="498"/>
      <c r="D21" s="226" t="s">
        <v>289</v>
      </c>
      <c r="E21" s="245">
        <v>0.30199999999999999</v>
      </c>
      <c r="F21" s="228"/>
      <c r="G21" s="228"/>
      <c r="H21" s="223"/>
      <c r="I21" s="223">
        <f>I19*30.2%</f>
        <v>196.45099999999999</v>
      </c>
    </row>
    <row r="22" spans="1:9" x14ac:dyDescent="0.25">
      <c r="A22" s="97"/>
      <c r="B22" s="248"/>
      <c r="C22" s="257"/>
      <c r="D22" s="226"/>
      <c r="E22" s="256"/>
      <c r="F22" s="228"/>
      <c r="G22" s="228"/>
      <c r="H22" s="223"/>
      <c r="I22" s="223"/>
    </row>
    <row r="23" spans="1:9" ht="15" customHeight="1" x14ac:dyDescent="0.25">
      <c r="A23" s="97">
        <v>6</v>
      </c>
      <c r="B23" s="239" t="s">
        <v>111</v>
      </c>
      <c r="C23" s="257"/>
      <c r="D23" s="226" t="s">
        <v>289</v>
      </c>
      <c r="E23" s="256"/>
      <c r="F23" s="228"/>
      <c r="G23" s="228"/>
      <c r="H23" s="223">
        <f>'Пробег КО-829'!F46*E28</f>
        <v>397.75583801649714</v>
      </c>
      <c r="I23" s="223">
        <f>H23*5</f>
        <v>1988.7791900824857</v>
      </c>
    </row>
    <row r="24" spans="1:9" x14ac:dyDescent="0.25">
      <c r="A24" s="97"/>
      <c r="B24" s="248"/>
      <c r="C24" s="257"/>
      <c r="D24" s="226"/>
      <c r="E24" s="256"/>
      <c r="F24" s="228"/>
      <c r="G24" s="228"/>
      <c r="H24" s="258"/>
      <c r="I24" s="223"/>
    </row>
    <row r="25" spans="1:9" ht="15" customHeight="1" x14ac:dyDescent="0.25">
      <c r="A25" s="97">
        <v>7</v>
      </c>
      <c r="B25" s="463" t="s">
        <v>113</v>
      </c>
      <c r="C25" s="464"/>
      <c r="D25" s="221" t="s">
        <v>103</v>
      </c>
      <c r="E25" s="471"/>
      <c r="F25" s="472"/>
      <c r="G25" s="472"/>
      <c r="H25" s="223">
        <f>'Пробег КО-829'!H46*E28</f>
        <v>111.70346472065182</v>
      </c>
      <c r="I25" s="223">
        <f>H25*5</f>
        <v>558.51732360325911</v>
      </c>
    </row>
    <row r="26" spans="1:9" ht="15" customHeight="1" x14ac:dyDescent="0.25">
      <c r="A26" s="97"/>
      <c r="B26" s="471"/>
      <c r="C26" s="473"/>
      <c r="D26" s="226"/>
      <c r="E26" s="472"/>
      <c r="F26" s="472"/>
      <c r="G26" s="472"/>
      <c r="H26" s="225"/>
      <c r="I26" s="225"/>
    </row>
    <row r="27" spans="1:9" ht="15" customHeight="1" x14ac:dyDescent="0.25">
      <c r="A27" s="97">
        <v>8</v>
      </c>
      <c r="B27" s="463" t="s">
        <v>114</v>
      </c>
      <c r="C27" s="464"/>
      <c r="D27" s="224"/>
      <c r="E27" s="227">
        <v>116.37</v>
      </c>
      <c r="F27" s="228" t="s">
        <v>292</v>
      </c>
      <c r="G27" s="228"/>
      <c r="H27" s="229"/>
      <c r="I27" s="229">
        <f>I28+I29</f>
        <v>48.532499999999999</v>
      </c>
    </row>
    <row r="28" spans="1:9" ht="15" customHeight="1" x14ac:dyDescent="0.25">
      <c r="A28" s="97"/>
      <c r="B28" s="239" t="s">
        <v>293</v>
      </c>
      <c r="C28" s="240"/>
      <c r="D28" s="224" t="s">
        <v>294</v>
      </c>
      <c r="E28" s="227">
        <v>33.21</v>
      </c>
      <c r="F28" s="228" t="s">
        <v>292</v>
      </c>
      <c r="G28" s="228"/>
      <c r="H28" s="229">
        <v>0.61</v>
      </c>
      <c r="I28" s="229">
        <f>E28*H28</f>
        <v>20.258099999999999</v>
      </c>
    </row>
    <row r="29" spans="1:9" x14ac:dyDescent="0.25">
      <c r="A29" s="97"/>
      <c r="B29" s="239" t="s">
        <v>295</v>
      </c>
      <c r="C29" s="240"/>
      <c r="D29" s="224" t="s">
        <v>294</v>
      </c>
      <c r="E29" s="227">
        <f>77.16+6</f>
        <v>83.16</v>
      </c>
      <c r="F29" s="228" t="s">
        <v>292</v>
      </c>
      <c r="G29" s="228"/>
      <c r="H29" s="229">
        <v>0.34</v>
      </c>
      <c r="I29" s="229">
        <f>E29*H29</f>
        <v>28.2744</v>
      </c>
    </row>
    <row r="30" spans="1:9" x14ac:dyDescent="0.25">
      <c r="A30" s="97"/>
      <c r="B30" s="230"/>
      <c r="C30" s="231" t="s">
        <v>250</v>
      </c>
      <c r="D30" s="221" t="s">
        <v>103</v>
      </c>
      <c r="E30" s="232">
        <v>29.95</v>
      </c>
      <c r="F30" s="228" t="s">
        <v>103</v>
      </c>
      <c r="G30" s="232"/>
      <c r="H30" s="223">
        <f>H27*$E$30</f>
        <v>0</v>
      </c>
      <c r="I30" s="223">
        <f>I27*$E$30</f>
        <v>1453.5483749999999</v>
      </c>
    </row>
    <row r="31" spans="1:9" ht="15" customHeight="1" x14ac:dyDescent="0.25">
      <c r="A31" s="97">
        <v>6</v>
      </c>
      <c r="B31" s="463" t="s">
        <v>117</v>
      </c>
      <c r="C31" s="464"/>
      <c r="D31" s="221"/>
      <c r="E31" s="472"/>
      <c r="F31" s="472"/>
      <c r="G31" s="472"/>
      <c r="H31" s="225"/>
      <c r="I31" s="225"/>
    </row>
    <row r="32" spans="1:9" ht="15" customHeight="1" x14ac:dyDescent="0.25">
      <c r="A32" s="97"/>
      <c r="B32" s="230" t="s">
        <v>118</v>
      </c>
      <c r="C32" s="224"/>
      <c r="D32" s="221" t="s">
        <v>103</v>
      </c>
      <c r="E32" s="233">
        <v>2.8000000000000001E-2</v>
      </c>
      <c r="F32" s="234" t="s">
        <v>251</v>
      </c>
      <c r="G32" s="232">
        <v>142.52000000000001</v>
      </c>
      <c r="H32" s="225">
        <f>E32*$H$27*G32</f>
        <v>0</v>
      </c>
      <c r="I32" s="225">
        <f>E32*$I$27*G32</f>
        <v>193.67185320000002</v>
      </c>
    </row>
    <row r="33" spans="1:9" ht="25.5" x14ac:dyDescent="0.25">
      <c r="A33" s="97"/>
      <c r="B33" s="230" t="s">
        <v>120</v>
      </c>
      <c r="C33" s="224"/>
      <c r="D33" s="221" t="s">
        <v>103</v>
      </c>
      <c r="E33" s="233">
        <v>4.0000000000000001E-3</v>
      </c>
      <c r="F33" s="235" t="s">
        <v>121</v>
      </c>
      <c r="G33" s="232">
        <v>88.65</v>
      </c>
      <c r="H33" s="225">
        <f>E33*$H$27*G33</f>
        <v>0</v>
      </c>
      <c r="I33" s="225">
        <f>E33*$I$27*G33</f>
        <v>17.2096245</v>
      </c>
    </row>
    <row r="34" spans="1:9" ht="15" customHeight="1" x14ac:dyDescent="0.25">
      <c r="A34" s="97"/>
      <c r="B34" s="230" t="s">
        <v>122</v>
      </c>
      <c r="C34" s="224"/>
      <c r="D34" s="221" t="s">
        <v>103</v>
      </c>
      <c r="E34" s="233">
        <v>1.4999999999999999E-2</v>
      </c>
      <c r="F34" s="235" t="s">
        <v>121</v>
      </c>
      <c r="G34" s="232">
        <v>56.75</v>
      </c>
      <c r="H34" s="225">
        <f>E34*$H$27*G34</f>
        <v>0</v>
      </c>
      <c r="I34" s="225">
        <f>E34*$I$27*G34</f>
        <v>41.313290625</v>
      </c>
    </row>
    <row r="35" spans="1:9" ht="25.5" x14ac:dyDescent="0.25">
      <c r="A35" s="97"/>
      <c r="B35" s="230" t="s">
        <v>123</v>
      </c>
      <c r="C35" s="224"/>
      <c r="D35" s="221" t="s">
        <v>103</v>
      </c>
      <c r="E35" s="233">
        <v>3.5000000000000003E-2</v>
      </c>
      <c r="F35" s="235" t="s">
        <v>121</v>
      </c>
      <c r="G35" s="232">
        <v>100.17</v>
      </c>
      <c r="H35" s="225">
        <f>E35*$H$27*G35</f>
        <v>0</v>
      </c>
      <c r="I35" s="225">
        <f>E35*$I$27*G35</f>
        <v>170.152518375</v>
      </c>
    </row>
    <row r="36" spans="1:9" ht="15" customHeight="1" x14ac:dyDescent="0.25">
      <c r="A36" s="97"/>
      <c r="B36" s="466" t="s">
        <v>124</v>
      </c>
      <c r="C36" s="467"/>
      <c r="D36" s="221"/>
      <c r="E36" s="497"/>
      <c r="F36" s="495"/>
      <c r="G36" s="496"/>
      <c r="H36" s="223">
        <f>SUM(H32:H35)</f>
        <v>0</v>
      </c>
      <c r="I36" s="223">
        <f>SUM(I32:I35)</f>
        <v>422.34728670000004</v>
      </c>
    </row>
    <row r="37" spans="1:9" x14ac:dyDescent="0.25">
      <c r="A37" s="97"/>
      <c r="B37" s="497"/>
      <c r="C37" s="496"/>
      <c r="D37" s="226"/>
      <c r="E37" s="495"/>
      <c r="F37" s="495"/>
      <c r="G37" s="495"/>
      <c r="H37" s="225"/>
      <c r="I37" s="225"/>
    </row>
    <row r="38" spans="1:9" ht="15" customHeight="1" x14ac:dyDescent="0.25">
      <c r="A38" s="97">
        <v>7</v>
      </c>
      <c r="B38" s="463" t="s">
        <v>125</v>
      </c>
      <c r="C38" s="464"/>
      <c r="D38" s="226"/>
      <c r="E38" s="468">
        <v>0.62</v>
      </c>
      <c r="F38" s="469"/>
      <c r="G38" s="470"/>
      <c r="H38" s="223"/>
      <c r="I38" s="223">
        <f>I19*$E$38</f>
        <v>403.31</v>
      </c>
    </row>
    <row r="39" spans="1:9" ht="15" customHeight="1" x14ac:dyDescent="0.25">
      <c r="A39" s="97"/>
      <c r="B39" s="239"/>
      <c r="C39" s="240"/>
      <c r="D39" s="226"/>
      <c r="E39" s="245"/>
      <c r="F39" s="234"/>
      <c r="G39" s="246"/>
      <c r="H39" s="223"/>
      <c r="I39" s="223"/>
    </row>
    <row r="40" spans="1:9" ht="15" customHeight="1" x14ac:dyDescent="0.25">
      <c r="A40" s="97">
        <v>8</v>
      </c>
      <c r="B40" s="463" t="s">
        <v>126</v>
      </c>
      <c r="C40" s="464"/>
      <c r="D40" s="247"/>
      <c r="E40" s="354"/>
      <c r="F40" s="354"/>
      <c r="G40" s="354"/>
      <c r="H40" s="223"/>
      <c r="I40" s="223">
        <f>I17+I19+I23+I25+I21+I30+I36+I38</f>
        <v>34634.303590385745</v>
      </c>
    </row>
    <row r="41" spans="1:9" x14ac:dyDescent="0.25">
      <c r="A41" s="97"/>
      <c r="B41" s="239"/>
      <c r="C41" s="240"/>
      <c r="D41" s="247"/>
      <c r="E41" s="248"/>
      <c r="F41" s="249"/>
      <c r="G41" s="250"/>
      <c r="H41" s="223"/>
      <c r="I41" s="223"/>
    </row>
    <row r="42" spans="1:9" ht="15" customHeight="1" x14ac:dyDescent="0.25">
      <c r="A42" s="97">
        <v>9</v>
      </c>
      <c r="B42" s="463" t="s">
        <v>127</v>
      </c>
      <c r="C42" s="464"/>
      <c r="D42" s="247"/>
      <c r="E42" s="471"/>
      <c r="F42" s="472"/>
      <c r="G42" s="473"/>
      <c r="H42" s="223"/>
      <c r="I42" s="223"/>
    </row>
    <row r="43" spans="1:9" ht="29.25" customHeight="1" x14ac:dyDescent="0.25">
      <c r="A43" s="224"/>
      <c r="B43" s="466" t="s">
        <v>128</v>
      </c>
      <c r="C43" s="467"/>
      <c r="D43" s="226" t="s">
        <v>103</v>
      </c>
      <c r="E43" s="499">
        <v>0.1</v>
      </c>
      <c r="F43" s="500"/>
      <c r="G43" s="501"/>
      <c r="H43" s="225">
        <f>H40*E43</f>
        <v>0</v>
      </c>
      <c r="I43" s="225">
        <f>I40*$E$43</f>
        <v>3463.4303590385748</v>
      </c>
    </row>
    <row r="44" spans="1:9" ht="27" customHeight="1" x14ac:dyDescent="0.25">
      <c r="A44" s="224"/>
      <c r="B44" s="466" t="s">
        <v>129</v>
      </c>
      <c r="C44" s="467"/>
      <c r="D44" s="226" t="s">
        <v>103</v>
      </c>
      <c r="E44" s="499">
        <v>0.15</v>
      </c>
      <c r="F44" s="500"/>
      <c r="G44" s="501"/>
      <c r="H44" s="225">
        <f>H40*E44</f>
        <v>0</v>
      </c>
      <c r="I44" s="225">
        <f>I40*$E$44</f>
        <v>5195.145538557862</v>
      </c>
    </row>
    <row r="45" spans="1:9" x14ac:dyDescent="0.25">
      <c r="A45" s="97">
        <v>10</v>
      </c>
      <c r="B45" s="239" t="s">
        <v>296</v>
      </c>
      <c r="C45" s="240"/>
      <c r="D45" s="247"/>
      <c r="E45" s="259"/>
      <c r="F45" s="260"/>
      <c r="G45" s="261"/>
      <c r="H45" s="223"/>
      <c r="I45" s="223"/>
    </row>
    <row r="46" spans="1:9" ht="28.5" customHeight="1" x14ac:dyDescent="0.25">
      <c r="A46" s="224"/>
      <c r="B46" s="466" t="s">
        <v>128</v>
      </c>
      <c r="C46" s="467"/>
      <c r="D46" s="226" t="s">
        <v>103</v>
      </c>
      <c r="E46" s="497"/>
      <c r="F46" s="495"/>
      <c r="G46" s="496"/>
      <c r="H46" s="223"/>
      <c r="I46" s="223">
        <f>I40+I43</f>
        <v>38097.733949424321</v>
      </c>
    </row>
    <row r="47" spans="1:9" ht="27" customHeight="1" x14ac:dyDescent="0.25">
      <c r="A47" s="224"/>
      <c r="B47" s="466" t="s">
        <v>129</v>
      </c>
      <c r="C47" s="467"/>
      <c r="D47" s="226" t="s">
        <v>103</v>
      </c>
      <c r="E47" s="497"/>
      <c r="F47" s="495"/>
      <c r="G47" s="496"/>
      <c r="H47" s="223"/>
      <c r="I47" s="223">
        <f>I40+I44</f>
        <v>39829.449128943605</v>
      </c>
    </row>
    <row r="48" spans="1:9" ht="15" customHeight="1" x14ac:dyDescent="0.25"/>
    <row r="49" spans="1:9" ht="15" customHeight="1" x14ac:dyDescent="0.25">
      <c r="A49" s="45"/>
      <c r="B49" s="46"/>
      <c r="C49" s="382" t="s">
        <v>56</v>
      </c>
      <c r="D49" s="382"/>
      <c r="E49" s="90"/>
      <c r="F49" s="90"/>
      <c r="G49" s="45"/>
      <c r="H49" s="382" t="s">
        <v>58</v>
      </c>
      <c r="I49" s="502"/>
    </row>
    <row r="50" spans="1:9" ht="15.75" x14ac:dyDescent="0.25">
      <c r="A50" s="31"/>
      <c r="B50" s="31"/>
      <c r="C50" s="376" t="s">
        <v>57</v>
      </c>
      <c r="D50" s="376"/>
      <c r="E50" s="262"/>
      <c r="F50" s="91"/>
      <c r="G50" s="90"/>
      <c r="H50" s="31"/>
      <c r="I50" s="31"/>
    </row>
  </sheetData>
  <mergeCells count="54">
    <mergeCell ref="C49:D49"/>
    <mergeCell ref="H49:I49"/>
    <mergeCell ref="C50:D50"/>
    <mergeCell ref="B44:C44"/>
    <mergeCell ref="E44:G44"/>
    <mergeCell ref="B46:C46"/>
    <mergeCell ref="E46:G46"/>
    <mergeCell ref="B47:C47"/>
    <mergeCell ref="E47:G47"/>
    <mergeCell ref="B40:C40"/>
    <mergeCell ref="E40:G40"/>
    <mergeCell ref="B42:C42"/>
    <mergeCell ref="E42:G42"/>
    <mergeCell ref="B43:C43"/>
    <mergeCell ref="E43:G43"/>
    <mergeCell ref="B36:C36"/>
    <mergeCell ref="E36:G36"/>
    <mergeCell ref="B37:C37"/>
    <mergeCell ref="E37:G37"/>
    <mergeCell ref="B38:C38"/>
    <mergeCell ref="E38:G38"/>
    <mergeCell ref="B31:C31"/>
    <mergeCell ref="E31:G31"/>
    <mergeCell ref="B14:C14"/>
    <mergeCell ref="E14:G14"/>
    <mergeCell ref="B15:C15"/>
    <mergeCell ref="E15:G15"/>
    <mergeCell ref="B19:C19"/>
    <mergeCell ref="B21:C21"/>
    <mergeCell ref="B25:C25"/>
    <mergeCell ref="E25:G25"/>
    <mergeCell ref="B26:C26"/>
    <mergeCell ref="E26:G26"/>
    <mergeCell ref="B27:C27"/>
    <mergeCell ref="B13:C13"/>
    <mergeCell ref="E13:G13"/>
    <mergeCell ref="A7:I7"/>
    <mergeCell ref="A8:A9"/>
    <mergeCell ref="B8:C9"/>
    <mergeCell ref="D8:D9"/>
    <mergeCell ref="E8:G9"/>
    <mergeCell ref="H8:H9"/>
    <mergeCell ref="I8:I9"/>
    <mergeCell ref="B10:C10"/>
    <mergeCell ref="B11:C11"/>
    <mergeCell ref="E11:G11"/>
    <mergeCell ref="B12:C12"/>
    <mergeCell ref="E12:G12"/>
    <mergeCell ref="A6:I6"/>
    <mergeCell ref="G1:I1"/>
    <mergeCell ref="F2:I2"/>
    <mergeCell ref="F3:I3"/>
    <mergeCell ref="F4:I4"/>
    <mergeCell ref="A5:I5"/>
  </mergeCells>
  <pageMargins left="0.25" right="0.25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4"/>
  <sheetViews>
    <sheetView topLeftCell="A31" workbookViewId="0">
      <selection activeCell="F16" sqref="F16"/>
    </sheetView>
  </sheetViews>
  <sheetFormatPr defaultRowHeight="15" x14ac:dyDescent="0.25"/>
  <cols>
    <col min="1" max="1" width="3.5703125" customWidth="1"/>
    <col min="2" max="2" width="17.28515625" customWidth="1"/>
    <col min="3" max="3" width="14.28515625" customWidth="1"/>
    <col min="5" max="5" width="7.5703125" customWidth="1"/>
    <col min="6" max="6" width="9.5703125" customWidth="1"/>
    <col min="7" max="7" width="6.7109375" customWidth="1"/>
    <col min="8" max="8" width="14" customWidth="1"/>
    <col min="9" max="9" width="15.42578125" customWidth="1"/>
  </cols>
  <sheetData>
    <row r="1" spans="1:9" ht="15.75" x14ac:dyDescent="0.25">
      <c r="A1" s="96"/>
      <c r="B1" s="46"/>
      <c r="C1" s="46"/>
      <c r="D1" s="46"/>
      <c r="E1" s="46"/>
      <c r="F1" s="96"/>
      <c r="G1" s="346" t="s">
        <v>167</v>
      </c>
      <c r="H1" s="346"/>
      <c r="I1" s="346"/>
    </row>
    <row r="2" spans="1:9" ht="15.75" x14ac:dyDescent="0.25">
      <c r="A2" s="95"/>
      <c r="B2" s="46"/>
      <c r="C2" s="46"/>
      <c r="D2" s="46"/>
      <c r="E2" s="46"/>
      <c r="F2" s="346" t="s">
        <v>61</v>
      </c>
      <c r="G2" s="346"/>
      <c r="H2" s="346"/>
      <c r="I2" s="346"/>
    </row>
    <row r="3" spans="1:9" ht="15.75" x14ac:dyDescent="0.25">
      <c r="A3" s="95"/>
      <c r="B3" s="46"/>
      <c r="C3" s="46"/>
      <c r="D3" s="46"/>
      <c r="E3" s="46"/>
      <c r="F3" s="346" t="s">
        <v>416</v>
      </c>
      <c r="G3" s="346"/>
      <c r="H3" s="346"/>
      <c r="I3" s="346"/>
    </row>
    <row r="4" spans="1:9" ht="15.75" x14ac:dyDescent="0.25">
      <c r="A4" s="95"/>
      <c r="B4" s="46"/>
      <c r="C4" s="46"/>
      <c r="D4" s="46"/>
      <c r="E4" s="46"/>
      <c r="F4" s="346" t="s">
        <v>425</v>
      </c>
      <c r="G4" s="346"/>
      <c r="H4" s="346"/>
      <c r="I4" s="346"/>
    </row>
    <row r="5" spans="1:9" ht="15.75" x14ac:dyDescent="0.25">
      <c r="A5" s="447" t="s">
        <v>98</v>
      </c>
      <c r="B5" s="447"/>
      <c r="C5" s="447"/>
      <c r="D5" s="447"/>
      <c r="E5" s="447"/>
      <c r="F5" s="447"/>
      <c r="G5" s="447"/>
      <c r="H5" s="447"/>
      <c r="I5" s="447"/>
    </row>
    <row r="6" spans="1:9" ht="15.75" x14ac:dyDescent="0.25">
      <c r="A6" s="458" t="s">
        <v>299</v>
      </c>
      <c r="B6" s="458"/>
      <c r="C6" s="458"/>
      <c r="D6" s="458"/>
      <c r="E6" s="458"/>
      <c r="F6" s="458"/>
      <c r="G6" s="458"/>
      <c r="H6" s="458"/>
      <c r="I6" s="458"/>
    </row>
    <row r="7" spans="1:9" ht="15.75" x14ac:dyDescent="0.25">
      <c r="A7" s="458" t="s">
        <v>450</v>
      </c>
      <c r="B7" s="458"/>
      <c r="C7" s="458"/>
      <c r="D7" s="458"/>
      <c r="E7" s="458"/>
      <c r="F7" s="458"/>
      <c r="G7" s="458"/>
      <c r="H7" s="458"/>
      <c r="I7" s="458"/>
    </row>
    <row r="8" spans="1:9" x14ac:dyDescent="0.25">
      <c r="A8" s="448" t="s">
        <v>14</v>
      </c>
      <c r="B8" s="450" t="s">
        <v>100</v>
      </c>
      <c r="C8" s="450"/>
      <c r="D8" s="450" t="s">
        <v>237</v>
      </c>
      <c r="E8" s="451" t="s">
        <v>238</v>
      </c>
      <c r="F8" s="452"/>
      <c r="G8" s="453"/>
      <c r="H8" s="450" t="s">
        <v>277</v>
      </c>
      <c r="I8" s="450" t="s">
        <v>278</v>
      </c>
    </row>
    <row r="9" spans="1:9" x14ac:dyDescent="0.25">
      <c r="A9" s="449"/>
      <c r="B9" s="450"/>
      <c r="C9" s="450"/>
      <c r="D9" s="450"/>
      <c r="E9" s="454"/>
      <c r="F9" s="455"/>
      <c r="G9" s="456"/>
      <c r="H9" s="450"/>
      <c r="I9" s="450"/>
    </row>
    <row r="10" spans="1:9" x14ac:dyDescent="0.25">
      <c r="A10" s="97"/>
      <c r="B10" s="248"/>
      <c r="C10" s="250"/>
      <c r="D10" s="226"/>
      <c r="E10" s="256"/>
      <c r="F10" s="228"/>
      <c r="G10" s="228"/>
      <c r="H10" s="223"/>
      <c r="I10" s="223"/>
    </row>
    <row r="11" spans="1:9" x14ac:dyDescent="0.25">
      <c r="A11" s="97">
        <v>4</v>
      </c>
      <c r="B11" s="463" t="s">
        <v>288</v>
      </c>
      <c r="C11" s="498"/>
      <c r="D11" s="226" t="s">
        <v>289</v>
      </c>
      <c r="E11" s="256">
        <v>130.1</v>
      </c>
      <c r="F11" s="228" t="s">
        <v>249</v>
      </c>
      <c r="G11" s="228"/>
      <c r="H11" s="223" t="s">
        <v>290</v>
      </c>
      <c r="I11" s="223">
        <f>E11*5</f>
        <v>650.5</v>
      </c>
    </row>
    <row r="12" spans="1:9" x14ac:dyDescent="0.25">
      <c r="A12" s="97"/>
      <c r="B12" s="248"/>
      <c r="C12" s="257"/>
      <c r="D12" s="226"/>
      <c r="E12" s="256"/>
      <c r="F12" s="228"/>
      <c r="G12" s="228"/>
      <c r="H12" s="223"/>
      <c r="I12" s="223"/>
    </row>
    <row r="13" spans="1:9" x14ac:dyDescent="0.25">
      <c r="A13" s="97">
        <v>5</v>
      </c>
      <c r="B13" s="463" t="s">
        <v>291</v>
      </c>
      <c r="C13" s="498"/>
      <c r="D13" s="226" t="s">
        <v>289</v>
      </c>
      <c r="E13" s="245">
        <v>0.30199999999999999</v>
      </c>
      <c r="F13" s="228"/>
      <c r="G13" s="228"/>
      <c r="H13" s="223"/>
      <c r="I13" s="223">
        <f>I11*30.2%</f>
        <v>196.45099999999999</v>
      </c>
    </row>
    <row r="14" spans="1:9" x14ac:dyDescent="0.25">
      <c r="A14" s="97"/>
      <c r="B14" s="248"/>
      <c r="C14" s="257"/>
      <c r="D14" s="226"/>
      <c r="E14" s="256"/>
      <c r="F14" s="228"/>
      <c r="G14" s="228"/>
      <c r="H14" s="223"/>
      <c r="I14" s="223"/>
    </row>
    <row r="15" spans="1:9" x14ac:dyDescent="0.25">
      <c r="A15" s="97">
        <v>6</v>
      </c>
      <c r="B15" s="239" t="s">
        <v>111</v>
      </c>
      <c r="C15" s="257"/>
      <c r="D15" s="226" t="s">
        <v>289</v>
      </c>
      <c r="E15" s="256"/>
      <c r="F15" s="228"/>
      <c r="G15" s="228"/>
      <c r="H15" s="223">
        <f>3.43*E20</f>
        <v>264.65879999999999</v>
      </c>
      <c r="I15" s="223">
        <f>H15*5</f>
        <v>1323.2939999999999</v>
      </c>
    </row>
    <row r="16" spans="1:9" x14ac:dyDescent="0.25">
      <c r="A16" s="97"/>
      <c r="B16" s="248"/>
      <c r="C16" s="257"/>
      <c r="D16" s="226"/>
      <c r="E16" s="256"/>
      <c r="F16" s="228"/>
      <c r="G16" s="228"/>
      <c r="H16" s="258"/>
      <c r="I16" s="223"/>
    </row>
    <row r="17" spans="1:9" x14ac:dyDescent="0.25">
      <c r="A17" s="97">
        <v>7</v>
      </c>
      <c r="B17" s="463" t="s">
        <v>113</v>
      </c>
      <c r="C17" s="464"/>
      <c r="D17" s="221" t="s">
        <v>103</v>
      </c>
      <c r="E17" s="471"/>
      <c r="F17" s="472"/>
      <c r="G17" s="472"/>
      <c r="H17" s="223">
        <f>3.43*E20</f>
        <v>264.65879999999999</v>
      </c>
      <c r="I17" s="223">
        <f>H17*5</f>
        <v>1323.2939999999999</v>
      </c>
    </row>
    <row r="18" spans="1:9" x14ac:dyDescent="0.25">
      <c r="A18" s="97"/>
      <c r="B18" s="471"/>
      <c r="C18" s="473"/>
      <c r="D18" s="226"/>
      <c r="E18" s="472"/>
      <c r="F18" s="472"/>
      <c r="G18" s="472"/>
      <c r="H18" s="225"/>
      <c r="I18" s="225"/>
    </row>
    <row r="19" spans="1:9" x14ac:dyDescent="0.25">
      <c r="A19" s="97">
        <v>8</v>
      </c>
      <c r="B19" s="463" t="s">
        <v>114</v>
      </c>
      <c r="C19" s="464"/>
      <c r="D19" s="224"/>
      <c r="E19" s="227">
        <v>116.37</v>
      </c>
      <c r="F19" s="228" t="s">
        <v>292</v>
      </c>
      <c r="G19" s="228"/>
      <c r="H19" s="229"/>
      <c r="I19" s="229">
        <f>I20+I21</f>
        <v>62.989800000000002</v>
      </c>
    </row>
    <row r="20" spans="1:9" x14ac:dyDescent="0.25">
      <c r="A20" s="97"/>
      <c r="B20" s="239" t="s">
        <v>300</v>
      </c>
      <c r="C20" s="240"/>
      <c r="D20" s="224" t="s">
        <v>294</v>
      </c>
      <c r="E20" s="227">
        <v>77.16</v>
      </c>
      <c r="F20" s="228" t="s">
        <v>292</v>
      </c>
      <c r="G20" s="228"/>
      <c r="H20" s="229">
        <v>0.61</v>
      </c>
      <c r="I20" s="229">
        <f>E20*H20</f>
        <v>47.067599999999999</v>
      </c>
    </row>
    <row r="21" spans="1:9" x14ac:dyDescent="0.25">
      <c r="A21" s="97"/>
      <c r="B21" s="239" t="s">
        <v>295</v>
      </c>
      <c r="C21" s="240"/>
      <c r="D21" s="224" t="s">
        <v>294</v>
      </c>
      <c r="E21" s="227">
        <f>40.83+6</f>
        <v>46.83</v>
      </c>
      <c r="F21" s="228" t="s">
        <v>292</v>
      </c>
      <c r="G21" s="228"/>
      <c r="H21" s="229">
        <v>0.34</v>
      </c>
      <c r="I21" s="229">
        <f>E21*H21</f>
        <v>15.9222</v>
      </c>
    </row>
    <row r="22" spans="1:9" x14ac:dyDescent="0.25">
      <c r="A22" s="97"/>
      <c r="B22" s="230"/>
      <c r="C22" s="231" t="s">
        <v>250</v>
      </c>
      <c r="D22" s="221" t="s">
        <v>103</v>
      </c>
      <c r="E22" s="232">
        <v>31.61</v>
      </c>
      <c r="F22" s="228" t="s">
        <v>103</v>
      </c>
      <c r="G22" s="232"/>
      <c r="H22" s="223">
        <f>H19*$E$22</f>
        <v>0</v>
      </c>
      <c r="I22" s="223">
        <f>I19*$E$22</f>
        <v>1991.1075780000001</v>
      </c>
    </row>
    <row r="23" spans="1:9" x14ac:dyDescent="0.25">
      <c r="A23" s="97">
        <v>6</v>
      </c>
      <c r="B23" s="463" t="s">
        <v>117</v>
      </c>
      <c r="C23" s="464"/>
      <c r="D23" s="221"/>
      <c r="E23" s="472"/>
      <c r="F23" s="472"/>
      <c r="G23" s="472"/>
      <c r="H23" s="225"/>
      <c r="I23" s="225"/>
    </row>
    <row r="24" spans="1:9" ht="25.5" x14ac:dyDescent="0.25">
      <c r="A24" s="97"/>
      <c r="B24" s="230" t="s">
        <v>118</v>
      </c>
      <c r="C24" s="224"/>
      <c r="D24" s="221" t="s">
        <v>103</v>
      </c>
      <c r="E24" s="233">
        <v>2.8000000000000001E-2</v>
      </c>
      <c r="F24" s="234" t="s">
        <v>251</v>
      </c>
      <c r="G24" s="232">
        <v>142.72999999999999</v>
      </c>
      <c r="H24" s="225">
        <f>E24*$H$19*G24</f>
        <v>0</v>
      </c>
      <c r="I24" s="225">
        <f>E24*$I$19*G24</f>
        <v>251.73495631199998</v>
      </c>
    </row>
    <row r="25" spans="1:9" ht="25.5" x14ac:dyDescent="0.25">
      <c r="A25" s="97"/>
      <c r="B25" s="230" t="s">
        <v>120</v>
      </c>
      <c r="C25" s="224"/>
      <c r="D25" s="221" t="s">
        <v>103</v>
      </c>
      <c r="E25" s="233">
        <v>4.0000000000000001E-3</v>
      </c>
      <c r="F25" s="235" t="s">
        <v>121</v>
      </c>
      <c r="G25" s="232">
        <v>88.65</v>
      </c>
      <c r="H25" s="225">
        <f>E25*$H$19*G25</f>
        <v>0</v>
      </c>
      <c r="I25" s="225">
        <f>E25*$I$19*G25</f>
        <v>22.336183080000001</v>
      </c>
    </row>
    <row r="26" spans="1:9" ht="25.5" x14ac:dyDescent="0.25">
      <c r="A26" s="97"/>
      <c r="B26" s="230" t="s">
        <v>122</v>
      </c>
      <c r="C26" s="224"/>
      <c r="D26" s="221" t="s">
        <v>103</v>
      </c>
      <c r="E26" s="233">
        <v>1.4999999999999999E-2</v>
      </c>
      <c r="F26" s="235" t="s">
        <v>121</v>
      </c>
      <c r="G26" s="232">
        <v>56.75</v>
      </c>
      <c r="H26" s="225">
        <f>E26*$H$19*G26</f>
        <v>0</v>
      </c>
      <c r="I26" s="225">
        <f>E26*$I$19*G26</f>
        <v>53.620067249999998</v>
      </c>
    </row>
    <row r="27" spans="1:9" ht="25.5" x14ac:dyDescent="0.25">
      <c r="A27" s="97"/>
      <c r="B27" s="230" t="s">
        <v>123</v>
      </c>
      <c r="C27" s="224"/>
      <c r="D27" s="221" t="s">
        <v>103</v>
      </c>
      <c r="E27" s="233">
        <v>3.5000000000000003E-2</v>
      </c>
      <c r="F27" s="235" t="s">
        <v>121</v>
      </c>
      <c r="G27" s="232">
        <v>100.17</v>
      </c>
      <c r="H27" s="225">
        <f>E27*$H$19*G27</f>
        <v>0</v>
      </c>
      <c r="I27" s="225">
        <f>E27*$I$19*G27</f>
        <v>220.83908931000005</v>
      </c>
    </row>
    <row r="28" spans="1:9" x14ac:dyDescent="0.25">
      <c r="A28" s="97"/>
      <c r="B28" s="466" t="s">
        <v>124</v>
      </c>
      <c r="C28" s="467"/>
      <c r="D28" s="221"/>
      <c r="E28" s="497"/>
      <c r="F28" s="495"/>
      <c r="G28" s="496"/>
      <c r="H28" s="223">
        <f>SUM(H24:H27)</f>
        <v>0</v>
      </c>
      <c r="I28" s="223">
        <f>SUM(I24:I27)</f>
        <v>548.53029595199996</v>
      </c>
    </row>
    <row r="29" spans="1:9" x14ac:dyDescent="0.25">
      <c r="A29" s="97"/>
      <c r="B29" s="497"/>
      <c r="C29" s="496"/>
      <c r="D29" s="226"/>
      <c r="E29" s="495"/>
      <c r="F29" s="495"/>
      <c r="G29" s="495"/>
      <c r="H29" s="225"/>
      <c r="I29" s="225"/>
    </row>
    <row r="30" spans="1:9" x14ac:dyDescent="0.25">
      <c r="A30" s="97"/>
      <c r="B30" s="239"/>
      <c r="C30" s="240"/>
      <c r="D30" s="70"/>
      <c r="E30" s="243"/>
      <c r="F30" s="244"/>
      <c r="G30" s="242"/>
      <c r="H30" s="238"/>
      <c r="I30" s="223"/>
    </row>
    <row r="31" spans="1:9" x14ac:dyDescent="0.25">
      <c r="A31" s="97">
        <v>7</v>
      </c>
      <c r="B31" s="463" t="s">
        <v>125</v>
      </c>
      <c r="C31" s="464"/>
      <c r="D31" s="226"/>
      <c r="E31" s="468">
        <v>0.62</v>
      </c>
      <c r="F31" s="469"/>
      <c r="G31" s="470"/>
      <c r="H31" s="223"/>
      <c r="I31" s="223">
        <f>I11*$E$31</f>
        <v>403.31</v>
      </c>
    </row>
    <row r="32" spans="1:9" x14ac:dyDescent="0.25">
      <c r="A32" s="97"/>
      <c r="B32" s="239"/>
      <c r="C32" s="240"/>
      <c r="D32" s="226"/>
      <c r="E32" s="245"/>
      <c r="F32" s="234"/>
      <c r="G32" s="246"/>
      <c r="H32" s="223"/>
      <c r="I32" s="223"/>
    </row>
    <row r="33" spans="1:9" x14ac:dyDescent="0.25">
      <c r="A33" s="97">
        <v>8</v>
      </c>
      <c r="B33" s="463" t="s">
        <v>126</v>
      </c>
      <c r="C33" s="464"/>
      <c r="D33" s="247"/>
      <c r="E33" s="354"/>
      <c r="F33" s="354"/>
      <c r="G33" s="354"/>
      <c r="H33" s="223"/>
      <c r="I33" s="223">
        <f>I11+I15+I17+I13+I22+I28+I31</f>
        <v>6436.4868739519998</v>
      </c>
    </row>
    <row r="34" spans="1:9" x14ac:dyDescent="0.25">
      <c r="A34" s="97"/>
      <c r="B34" s="239"/>
      <c r="C34" s="240"/>
      <c r="D34" s="247"/>
      <c r="E34" s="248"/>
      <c r="F34" s="249"/>
      <c r="G34" s="250"/>
      <c r="H34" s="223"/>
      <c r="I34" s="223"/>
    </row>
    <row r="35" spans="1:9" x14ac:dyDescent="0.25">
      <c r="A35" s="97">
        <v>9</v>
      </c>
      <c r="B35" s="463" t="s">
        <v>127</v>
      </c>
      <c r="C35" s="464"/>
      <c r="D35" s="247"/>
      <c r="E35" s="471"/>
      <c r="F35" s="472"/>
      <c r="G35" s="473"/>
      <c r="H35" s="223"/>
      <c r="I35" s="223"/>
    </row>
    <row r="36" spans="1:9" ht="23.25" customHeight="1" x14ac:dyDescent="0.25">
      <c r="A36" s="224"/>
      <c r="B36" s="466" t="s">
        <v>128</v>
      </c>
      <c r="C36" s="467"/>
      <c r="D36" s="226" t="s">
        <v>103</v>
      </c>
      <c r="E36" s="499">
        <v>0.1</v>
      </c>
      <c r="F36" s="500"/>
      <c r="G36" s="501"/>
      <c r="H36" s="225">
        <f>H33*E36</f>
        <v>0</v>
      </c>
      <c r="I36" s="225">
        <f>I33*$E$36</f>
        <v>643.6486873952</v>
      </c>
    </row>
    <row r="37" spans="1:9" ht="21.75" customHeight="1" x14ac:dyDescent="0.25">
      <c r="A37" s="224"/>
      <c r="B37" s="466" t="s">
        <v>129</v>
      </c>
      <c r="C37" s="467"/>
      <c r="D37" s="226" t="s">
        <v>103</v>
      </c>
      <c r="E37" s="499">
        <v>0.15</v>
      </c>
      <c r="F37" s="500"/>
      <c r="G37" s="501"/>
      <c r="H37" s="225">
        <f>H33*E37</f>
        <v>0</v>
      </c>
      <c r="I37" s="225">
        <f>I33*$E$37</f>
        <v>965.47303109279994</v>
      </c>
    </row>
    <row r="38" spans="1:9" x14ac:dyDescent="0.25">
      <c r="A38" s="97">
        <v>10</v>
      </c>
      <c r="B38" s="239" t="s">
        <v>296</v>
      </c>
      <c r="C38" s="240"/>
      <c r="D38" s="247"/>
      <c r="E38" s="259"/>
      <c r="F38" s="260"/>
      <c r="G38" s="261"/>
      <c r="H38" s="223"/>
      <c r="I38" s="223"/>
    </row>
    <row r="39" spans="1:9" ht="27" customHeight="1" x14ac:dyDescent="0.25">
      <c r="A39" s="224"/>
      <c r="B39" s="466" t="s">
        <v>128</v>
      </c>
      <c r="C39" s="467"/>
      <c r="D39" s="226" t="s">
        <v>103</v>
      </c>
      <c r="E39" s="497"/>
      <c r="F39" s="495"/>
      <c r="G39" s="496"/>
      <c r="H39" s="223"/>
      <c r="I39" s="223">
        <f>I33+I36</f>
        <v>7080.1355613471997</v>
      </c>
    </row>
    <row r="40" spans="1:9" ht="25.5" customHeight="1" x14ac:dyDescent="0.25">
      <c r="A40" s="224"/>
      <c r="B40" s="466" t="s">
        <v>129</v>
      </c>
      <c r="C40" s="467"/>
      <c r="D40" s="226" t="s">
        <v>103</v>
      </c>
      <c r="E40" s="497"/>
      <c r="F40" s="495"/>
      <c r="G40" s="496"/>
      <c r="H40" s="223"/>
      <c r="I40" s="223">
        <f>I33+I37</f>
        <v>7401.9599050447996</v>
      </c>
    </row>
    <row r="42" spans="1:9" s="504" customFormat="1" ht="17.25" customHeight="1" x14ac:dyDescent="0.25">
      <c r="A42" s="503" t="s">
        <v>297</v>
      </c>
    </row>
    <row r="43" spans="1:9" s="45" customFormat="1" ht="23.25" customHeight="1" x14ac:dyDescent="0.25">
      <c r="B43" s="46"/>
      <c r="C43" s="382" t="s">
        <v>56</v>
      </c>
      <c r="D43" s="382"/>
      <c r="E43" s="90"/>
      <c r="F43" s="90"/>
      <c r="H43" s="382" t="s">
        <v>58</v>
      </c>
      <c r="I43" s="502"/>
    </row>
    <row r="44" spans="1:9" s="31" customFormat="1" ht="15.75" x14ac:dyDescent="0.25">
      <c r="C44" s="376" t="s">
        <v>57</v>
      </c>
      <c r="D44" s="376"/>
      <c r="E44" s="262"/>
      <c r="F44" s="91"/>
      <c r="G44" s="90"/>
    </row>
  </sheetData>
  <mergeCells count="44">
    <mergeCell ref="C44:D44"/>
    <mergeCell ref="B36:C36"/>
    <mergeCell ref="E36:G36"/>
    <mergeCell ref="B37:C37"/>
    <mergeCell ref="E37:G37"/>
    <mergeCell ref="B39:C39"/>
    <mergeCell ref="E39:G39"/>
    <mergeCell ref="B40:C40"/>
    <mergeCell ref="E40:G40"/>
    <mergeCell ref="A42:XFD42"/>
    <mergeCell ref="C43:D43"/>
    <mergeCell ref="H43:I43"/>
    <mergeCell ref="B31:C31"/>
    <mergeCell ref="E31:G31"/>
    <mergeCell ref="B33:C33"/>
    <mergeCell ref="E33:G33"/>
    <mergeCell ref="B35:C35"/>
    <mergeCell ref="E35:G35"/>
    <mergeCell ref="B29:C29"/>
    <mergeCell ref="E29:G29"/>
    <mergeCell ref="B11:C11"/>
    <mergeCell ref="B13:C13"/>
    <mergeCell ref="B17:C17"/>
    <mergeCell ref="E17:G17"/>
    <mergeCell ref="B18:C18"/>
    <mergeCell ref="E18:G18"/>
    <mergeCell ref="B19:C19"/>
    <mergeCell ref="B23:C23"/>
    <mergeCell ref="E23:G23"/>
    <mergeCell ref="B28:C28"/>
    <mergeCell ref="E28:G28"/>
    <mergeCell ref="A7:I7"/>
    <mergeCell ref="A8:A9"/>
    <mergeCell ref="B8:C9"/>
    <mergeCell ref="D8:D9"/>
    <mergeCell ref="E8:G9"/>
    <mergeCell ref="H8:H9"/>
    <mergeCell ref="I8:I9"/>
    <mergeCell ref="A6:I6"/>
    <mergeCell ref="G1:I1"/>
    <mergeCell ref="F2:I2"/>
    <mergeCell ref="F3:I3"/>
    <mergeCell ref="F4:I4"/>
    <mergeCell ref="A5:I5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1"/>
  <sheetViews>
    <sheetView workbookViewId="0">
      <selection activeCell="K13" sqref="K13"/>
    </sheetView>
  </sheetViews>
  <sheetFormatPr defaultRowHeight="15" x14ac:dyDescent="0.25"/>
  <cols>
    <col min="2" max="2" width="21.140625" customWidth="1"/>
    <col min="5" max="5" width="7.140625" customWidth="1"/>
    <col min="7" max="7" width="7" customWidth="1"/>
    <col min="8" max="9" width="12" customWidth="1"/>
  </cols>
  <sheetData>
    <row r="1" spans="1:9" ht="15.75" x14ac:dyDescent="0.25">
      <c r="A1" s="96"/>
      <c r="B1" s="46"/>
      <c r="C1" s="46"/>
      <c r="D1" s="46"/>
      <c r="E1" s="46"/>
      <c r="F1" s="96"/>
      <c r="G1" s="346" t="s">
        <v>167</v>
      </c>
      <c r="H1" s="346"/>
      <c r="I1" s="346"/>
    </row>
    <row r="2" spans="1:9" ht="15.75" x14ac:dyDescent="0.25">
      <c r="A2" s="95"/>
      <c r="B2" s="46"/>
      <c r="C2" s="46"/>
      <c r="D2" s="46"/>
      <c r="E2" s="46"/>
      <c r="F2" s="346" t="s">
        <v>61</v>
      </c>
      <c r="G2" s="346"/>
      <c r="H2" s="346"/>
      <c r="I2" s="346"/>
    </row>
    <row r="3" spans="1:9" ht="15.75" x14ac:dyDescent="0.25">
      <c r="A3" s="95"/>
      <c r="B3" s="46"/>
      <c r="C3" s="46"/>
      <c r="D3" s="46"/>
      <c r="E3" s="46"/>
      <c r="F3" s="346" t="s">
        <v>416</v>
      </c>
      <c r="G3" s="346"/>
      <c r="H3" s="346"/>
      <c r="I3" s="346"/>
    </row>
    <row r="4" spans="1:9" ht="15.75" x14ac:dyDescent="0.25">
      <c r="A4" s="95"/>
      <c r="B4" s="46"/>
      <c r="C4" s="46"/>
      <c r="D4" s="46"/>
      <c r="E4" s="46"/>
      <c r="F4" s="346" t="s">
        <v>425</v>
      </c>
      <c r="G4" s="346"/>
      <c r="H4" s="346"/>
      <c r="I4" s="346"/>
    </row>
    <row r="5" spans="1:9" ht="15.75" x14ac:dyDescent="0.25">
      <c r="A5" s="447" t="s">
        <v>98</v>
      </c>
      <c r="B5" s="447"/>
      <c r="C5" s="447"/>
      <c r="D5" s="447"/>
      <c r="E5" s="447"/>
      <c r="F5" s="447"/>
      <c r="G5" s="447"/>
      <c r="H5" s="447"/>
      <c r="I5" s="447"/>
    </row>
    <row r="6" spans="1:9" ht="15.75" x14ac:dyDescent="0.25">
      <c r="A6" s="458" t="s">
        <v>301</v>
      </c>
      <c r="B6" s="458"/>
      <c r="C6" s="458"/>
      <c r="D6" s="458"/>
      <c r="E6" s="458"/>
      <c r="F6" s="458"/>
      <c r="G6" s="458"/>
      <c r="H6" s="458"/>
      <c r="I6" s="458"/>
    </row>
    <row r="7" spans="1:9" x14ac:dyDescent="0.25">
      <c r="A7" s="448" t="s">
        <v>14</v>
      </c>
      <c r="B7" s="450" t="s">
        <v>100</v>
      </c>
      <c r="C7" s="450"/>
      <c r="D7" s="450" t="s">
        <v>237</v>
      </c>
      <c r="E7" s="451" t="s">
        <v>238</v>
      </c>
      <c r="F7" s="452"/>
      <c r="G7" s="453"/>
      <c r="H7" s="450" t="s">
        <v>277</v>
      </c>
      <c r="I7" s="450" t="s">
        <v>402</v>
      </c>
    </row>
    <row r="8" spans="1:9" x14ac:dyDescent="0.25">
      <c r="A8" s="449"/>
      <c r="B8" s="450"/>
      <c r="C8" s="450"/>
      <c r="D8" s="450"/>
      <c r="E8" s="454"/>
      <c r="F8" s="455"/>
      <c r="G8" s="456"/>
      <c r="H8" s="450"/>
      <c r="I8" s="450"/>
    </row>
    <row r="9" spans="1:9" x14ac:dyDescent="0.25">
      <c r="A9" s="97">
        <v>1</v>
      </c>
      <c r="B9" s="463" t="s">
        <v>109</v>
      </c>
      <c r="C9" s="464"/>
      <c r="D9" s="221" t="s">
        <v>103</v>
      </c>
      <c r="E9" s="222">
        <v>130.1</v>
      </c>
      <c r="F9" s="110" t="s">
        <v>249</v>
      </c>
      <c r="G9" s="195"/>
      <c r="H9" s="223">
        <f>E9/35</f>
        <v>3.7171428571428571</v>
      </c>
      <c r="I9" s="223">
        <v>130.1</v>
      </c>
    </row>
    <row r="10" spans="1:9" x14ac:dyDescent="0.25">
      <c r="A10" s="224"/>
      <c r="B10" s="497"/>
      <c r="C10" s="496"/>
      <c r="D10" s="224"/>
      <c r="E10" s="497"/>
      <c r="F10" s="495"/>
      <c r="G10" s="496"/>
      <c r="H10" s="225"/>
      <c r="I10" s="225"/>
    </row>
    <row r="11" spans="1:9" x14ac:dyDescent="0.25">
      <c r="A11" s="97"/>
      <c r="B11" s="248"/>
      <c r="C11" s="250"/>
      <c r="D11" s="224"/>
      <c r="E11" s="248"/>
      <c r="F11" s="249"/>
      <c r="G11" s="250"/>
      <c r="H11" s="225"/>
      <c r="I11" s="223"/>
    </row>
    <row r="12" spans="1:9" x14ac:dyDescent="0.25">
      <c r="A12" s="97">
        <v>2</v>
      </c>
      <c r="B12" s="463" t="s">
        <v>110</v>
      </c>
      <c r="C12" s="464"/>
      <c r="D12" s="221" t="s">
        <v>103</v>
      </c>
      <c r="E12" s="468">
        <v>0.30199999999999999</v>
      </c>
      <c r="F12" s="469"/>
      <c r="G12" s="470"/>
      <c r="H12" s="223">
        <f>H9*E12</f>
        <v>1.1225771428571427</v>
      </c>
      <c r="I12" s="223">
        <f>I9*E12</f>
        <v>39.290199999999999</v>
      </c>
    </row>
    <row r="13" spans="1:9" x14ac:dyDescent="0.25">
      <c r="A13" s="97"/>
      <c r="B13" s="471"/>
      <c r="C13" s="473"/>
      <c r="D13" s="226"/>
      <c r="E13" s="471"/>
      <c r="F13" s="472"/>
      <c r="G13" s="473"/>
      <c r="H13" s="225"/>
      <c r="I13" s="223"/>
    </row>
    <row r="14" spans="1:9" x14ac:dyDescent="0.25">
      <c r="A14" s="97">
        <v>3</v>
      </c>
      <c r="B14" s="463" t="s">
        <v>111</v>
      </c>
      <c r="C14" s="464"/>
      <c r="D14" s="221" t="s">
        <v>103</v>
      </c>
      <c r="E14" s="471"/>
      <c r="F14" s="472"/>
      <c r="G14" s="473"/>
      <c r="H14" s="223">
        <v>41.92</v>
      </c>
      <c r="I14" s="223">
        <v>419.19</v>
      </c>
    </row>
    <row r="15" spans="1:9" x14ac:dyDescent="0.25">
      <c r="A15" s="97"/>
      <c r="B15" s="471"/>
      <c r="C15" s="473"/>
      <c r="D15" s="226"/>
      <c r="E15" s="471"/>
      <c r="F15" s="472"/>
      <c r="G15" s="473"/>
      <c r="H15" s="225"/>
      <c r="I15" s="223"/>
    </row>
    <row r="16" spans="1:9" x14ac:dyDescent="0.25">
      <c r="A16" s="97">
        <v>4</v>
      </c>
      <c r="B16" s="463" t="s">
        <v>113</v>
      </c>
      <c r="C16" s="464"/>
      <c r="D16" s="221" t="s">
        <v>103</v>
      </c>
      <c r="E16" s="471"/>
      <c r="F16" s="472"/>
      <c r="G16" s="472"/>
      <c r="H16" s="223">
        <v>7.36</v>
      </c>
      <c r="I16" s="223">
        <v>73.599999999999994</v>
      </c>
    </row>
    <row r="17" spans="1:9" x14ac:dyDescent="0.25">
      <c r="A17" s="97"/>
      <c r="B17" s="471"/>
      <c r="C17" s="473"/>
      <c r="D17" s="226"/>
      <c r="E17" s="472"/>
      <c r="F17" s="472"/>
      <c r="G17" s="472"/>
      <c r="H17" s="225"/>
      <c r="I17" s="225"/>
    </row>
    <row r="18" spans="1:9" x14ac:dyDescent="0.25">
      <c r="A18" s="97">
        <v>5</v>
      </c>
      <c r="B18" s="463" t="s">
        <v>114</v>
      </c>
      <c r="C18" s="464"/>
      <c r="D18" s="224" t="s">
        <v>303</v>
      </c>
      <c r="E18" s="227"/>
      <c r="F18" s="228"/>
      <c r="G18" s="228"/>
      <c r="H18" s="229">
        <v>0.34</v>
      </c>
      <c r="I18" s="229">
        <v>10</v>
      </c>
    </row>
    <row r="19" spans="1:9" x14ac:dyDescent="0.25">
      <c r="A19" s="97"/>
      <c r="B19" s="505" t="s">
        <v>404</v>
      </c>
      <c r="C19" s="506"/>
      <c r="D19" s="221" t="s">
        <v>103</v>
      </c>
      <c r="E19" s="232">
        <v>31.61</v>
      </c>
      <c r="F19" s="228" t="s">
        <v>103</v>
      </c>
      <c r="G19" s="232"/>
      <c r="H19" s="223">
        <f>H18*$E$19</f>
        <v>10.747400000000001</v>
      </c>
      <c r="I19" s="223">
        <f>I18*$E$19</f>
        <v>316.10000000000002</v>
      </c>
    </row>
    <row r="20" spans="1:9" x14ac:dyDescent="0.25">
      <c r="A20" s="97">
        <v>6</v>
      </c>
      <c r="B20" s="463" t="s">
        <v>117</v>
      </c>
      <c r="C20" s="464"/>
      <c r="D20" s="221"/>
      <c r="E20" s="472"/>
      <c r="F20" s="472"/>
      <c r="G20" s="472"/>
      <c r="H20" s="225"/>
      <c r="I20" s="225"/>
    </row>
    <row r="21" spans="1:9" ht="25.5" x14ac:dyDescent="0.25">
      <c r="A21" s="97"/>
      <c r="B21" s="466" t="s">
        <v>118</v>
      </c>
      <c r="C21" s="467"/>
      <c r="D21" s="221" t="s">
        <v>103</v>
      </c>
      <c r="E21" s="233">
        <v>2.8000000000000001E-2</v>
      </c>
      <c r="F21" s="234" t="s">
        <v>251</v>
      </c>
      <c r="G21" s="232">
        <v>142.72999999999999</v>
      </c>
      <c r="H21" s="225">
        <f>E21*$H$18*G21</f>
        <v>1.3587895999999999</v>
      </c>
      <c r="I21" s="225">
        <f>E21*$I$18*G21</f>
        <v>39.964399999999998</v>
      </c>
    </row>
    <row r="22" spans="1:9" ht="25.5" x14ac:dyDescent="0.25">
      <c r="A22" s="97"/>
      <c r="B22" s="466" t="s">
        <v>120</v>
      </c>
      <c r="C22" s="467"/>
      <c r="D22" s="221" t="s">
        <v>103</v>
      </c>
      <c r="E22" s="233">
        <v>4.0000000000000001E-3</v>
      </c>
      <c r="F22" s="235" t="s">
        <v>121</v>
      </c>
      <c r="G22" s="232">
        <v>88.65</v>
      </c>
      <c r="H22" s="225">
        <f>E22*$H$18*G22</f>
        <v>0.12056400000000002</v>
      </c>
      <c r="I22" s="225">
        <f>E22*$I$18*G22</f>
        <v>3.5460000000000003</v>
      </c>
    </row>
    <row r="23" spans="1:9" ht="25.5" x14ac:dyDescent="0.25">
      <c r="A23" s="97"/>
      <c r="B23" s="466" t="s">
        <v>122</v>
      </c>
      <c r="C23" s="467"/>
      <c r="D23" s="221" t="s">
        <v>103</v>
      </c>
      <c r="E23" s="233">
        <v>1.4999999999999999E-2</v>
      </c>
      <c r="F23" s="235" t="s">
        <v>121</v>
      </c>
      <c r="G23" s="232">
        <v>56.75</v>
      </c>
      <c r="H23" s="225">
        <f>E23*$H$18*G23</f>
        <v>0.28942500000000004</v>
      </c>
      <c r="I23" s="225">
        <f>E23*$I$18*G23</f>
        <v>8.5124999999999993</v>
      </c>
    </row>
    <row r="24" spans="1:9" ht="25.5" x14ac:dyDescent="0.25">
      <c r="A24" s="97"/>
      <c r="B24" s="466" t="s">
        <v>123</v>
      </c>
      <c r="C24" s="467"/>
      <c r="D24" s="221" t="s">
        <v>103</v>
      </c>
      <c r="E24" s="233">
        <v>3.5000000000000003E-2</v>
      </c>
      <c r="F24" s="235" t="s">
        <v>121</v>
      </c>
      <c r="G24" s="232">
        <v>100.17</v>
      </c>
      <c r="H24" s="225">
        <f>E24*$H$18*G24</f>
        <v>1.1920230000000003</v>
      </c>
      <c r="I24" s="225">
        <f>E24*$I$18*G24</f>
        <v>35.059500000000007</v>
      </c>
    </row>
    <row r="25" spans="1:9" x14ac:dyDescent="0.25">
      <c r="A25" s="97"/>
      <c r="B25" s="466" t="s">
        <v>124</v>
      </c>
      <c r="C25" s="467"/>
      <c r="D25" s="221"/>
      <c r="E25" s="497"/>
      <c r="F25" s="495"/>
      <c r="G25" s="496"/>
      <c r="H25" s="223">
        <f>SUM(H21:H24)</f>
        <v>2.9608016000000004</v>
      </c>
      <c r="I25" s="223">
        <f>SUM(I21:I24)</f>
        <v>87.082400000000007</v>
      </c>
    </row>
    <row r="26" spans="1:9" x14ac:dyDescent="0.25">
      <c r="A26" s="97"/>
      <c r="B26" s="497"/>
      <c r="C26" s="496"/>
      <c r="D26" s="226"/>
      <c r="E26" s="495"/>
      <c r="F26" s="495"/>
      <c r="G26" s="495"/>
      <c r="H26" s="225"/>
      <c r="I26" s="225"/>
    </row>
    <row r="27" spans="1:9" x14ac:dyDescent="0.25">
      <c r="A27" s="97">
        <v>9</v>
      </c>
      <c r="B27" s="463" t="s">
        <v>125</v>
      </c>
      <c r="C27" s="464"/>
      <c r="D27" s="226"/>
      <c r="E27" s="468">
        <v>0.62</v>
      </c>
      <c r="F27" s="469"/>
      <c r="G27" s="470"/>
      <c r="H27" s="223">
        <f>H9*E27</f>
        <v>2.3046285714285712</v>
      </c>
      <c r="I27" s="223">
        <v>63.5</v>
      </c>
    </row>
    <row r="28" spans="1:9" x14ac:dyDescent="0.25">
      <c r="A28" s="97"/>
      <c r="B28" s="239"/>
      <c r="C28" s="240"/>
      <c r="D28" s="226"/>
      <c r="E28" s="245"/>
      <c r="F28" s="234"/>
      <c r="G28" s="246"/>
      <c r="H28" s="223"/>
      <c r="I28" s="223"/>
    </row>
    <row r="29" spans="1:9" x14ac:dyDescent="0.25">
      <c r="A29" s="97">
        <v>10</v>
      </c>
      <c r="B29" s="463" t="s">
        <v>126</v>
      </c>
      <c r="C29" s="464"/>
      <c r="D29" s="247"/>
      <c r="E29" s="354"/>
      <c r="F29" s="354"/>
      <c r="G29" s="354"/>
      <c r="H29" s="223">
        <f>H9+H12+H14+H16+H19+H25+H27</f>
        <v>70.132550171428562</v>
      </c>
      <c r="I29" s="223">
        <f>I9+I12+I14+I16+I19+I25+I27+0.01</f>
        <v>1128.8725999999999</v>
      </c>
    </row>
    <row r="30" spans="1:9" x14ac:dyDescent="0.25">
      <c r="A30" s="97"/>
      <c r="B30" s="239"/>
      <c r="C30" s="240"/>
      <c r="D30" s="247"/>
      <c r="E30" s="248"/>
      <c r="F30" s="249"/>
      <c r="G30" s="250"/>
      <c r="H30" s="223"/>
      <c r="I30" s="223"/>
    </row>
    <row r="31" spans="1:9" x14ac:dyDescent="0.25">
      <c r="A31" s="97">
        <v>11</v>
      </c>
      <c r="B31" s="463" t="s">
        <v>127</v>
      </c>
      <c r="C31" s="464"/>
      <c r="D31" s="247"/>
      <c r="E31" s="471"/>
      <c r="F31" s="472"/>
      <c r="G31" s="473"/>
      <c r="H31" s="223"/>
      <c r="I31" s="223"/>
    </row>
    <row r="32" spans="1:9" ht="27" customHeight="1" x14ac:dyDescent="0.25">
      <c r="A32" s="224"/>
      <c r="B32" s="466" t="s">
        <v>128</v>
      </c>
      <c r="C32" s="467"/>
      <c r="D32" s="226" t="s">
        <v>103</v>
      </c>
      <c r="E32" s="499">
        <v>0.1</v>
      </c>
      <c r="F32" s="500"/>
      <c r="G32" s="501"/>
      <c r="H32" s="225">
        <f>H29*E32</f>
        <v>7.0132550171428569</v>
      </c>
      <c r="I32" s="225">
        <f>I29*$E$32</f>
        <v>112.88726</v>
      </c>
    </row>
    <row r="33" spans="1:9" ht="27" customHeight="1" x14ac:dyDescent="0.25">
      <c r="A33" s="224"/>
      <c r="B33" s="466" t="s">
        <v>129</v>
      </c>
      <c r="C33" s="467"/>
      <c r="D33" s="226" t="s">
        <v>103</v>
      </c>
      <c r="E33" s="499">
        <v>0.15</v>
      </c>
      <c r="F33" s="500"/>
      <c r="G33" s="501"/>
      <c r="H33" s="225">
        <f>H29*E33</f>
        <v>10.519882525714284</v>
      </c>
      <c r="I33" s="225">
        <f>I29*$E$33</f>
        <v>169.33088999999998</v>
      </c>
    </row>
    <row r="34" spans="1:9" ht="27" customHeight="1" x14ac:dyDescent="0.25">
      <c r="A34" s="224"/>
      <c r="B34" s="466" t="s">
        <v>128</v>
      </c>
      <c r="C34" s="467"/>
      <c r="D34" s="226" t="s">
        <v>103</v>
      </c>
      <c r="E34" s="497"/>
      <c r="F34" s="495"/>
      <c r="G34" s="496"/>
      <c r="H34" s="223">
        <f>H29+H32</f>
        <v>77.145805188571416</v>
      </c>
      <c r="I34" s="223">
        <f>I29+I32</f>
        <v>1241.7598599999999</v>
      </c>
    </row>
    <row r="35" spans="1:9" ht="27" customHeight="1" x14ac:dyDescent="0.25">
      <c r="A35" s="224"/>
      <c r="B35" s="466" t="s">
        <v>129</v>
      </c>
      <c r="C35" s="467"/>
      <c r="D35" s="226" t="s">
        <v>103</v>
      </c>
      <c r="E35" s="497"/>
      <c r="F35" s="495"/>
      <c r="G35" s="496"/>
      <c r="H35" s="223">
        <f>H29+H33+0.01</f>
        <v>80.662432697142847</v>
      </c>
      <c r="I35" s="223">
        <f>I29+I33</f>
        <v>1298.2034899999999</v>
      </c>
    </row>
    <row r="36" spans="1:9" x14ac:dyDescent="0.25">
      <c r="A36" s="111"/>
      <c r="B36" s="112"/>
      <c r="C36" s="112"/>
      <c r="D36" s="263"/>
      <c r="E36" s="111"/>
      <c r="F36" s="111"/>
      <c r="G36" s="111"/>
      <c r="H36" s="252"/>
      <c r="I36" s="252"/>
    </row>
    <row r="37" spans="1:9" ht="58.5" customHeight="1" x14ac:dyDescent="0.25">
      <c r="A37" s="508" t="s">
        <v>403</v>
      </c>
      <c r="B37" s="508"/>
      <c r="C37" s="508"/>
      <c r="D37" s="508"/>
      <c r="E37" s="508"/>
      <c r="F37" s="508"/>
      <c r="G37" s="508"/>
      <c r="H37" s="508"/>
      <c r="I37" s="508"/>
    </row>
    <row r="38" spans="1:9" ht="15.75" x14ac:dyDescent="0.25">
      <c r="A38" s="111"/>
      <c r="B38" s="46"/>
      <c r="C38" s="46"/>
      <c r="D38" s="46"/>
      <c r="E38" s="46"/>
      <c r="F38" s="111"/>
      <c r="G38" s="111"/>
      <c r="H38" s="255"/>
      <c r="I38" s="255"/>
    </row>
    <row r="39" spans="1:9" ht="15.75" x14ac:dyDescent="0.25">
      <c r="A39" s="111"/>
      <c r="B39" s="46"/>
      <c r="C39" s="46"/>
      <c r="D39" s="46"/>
      <c r="E39" s="46"/>
      <c r="F39" s="111"/>
      <c r="G39" s="111"/>
      <c r="H39" s="255"/>
      <c r="I39" s="255"/>
    </row>
    <row r="40" spans="1:9" ht="15.75" x14ac:dyDescent="0.25">
      <c r="A40" s="45"/>
      <c r="B40" s="382" t="s">
        <v>305</v>
      </c>
      <c r="C40" s="382"/>
      <c r="D40" s="382"/>
      <c r="E40" s="90"/>
      <c r="F40" s="509" t="s">
        <v>58</v>
      </c>
      <c r="G40" s="509"/>
      <c r="H40" s="509"/>
      <c r="I40" s="45"/>
    </row>
    <row r="41" spans="1:9" ht="15.75" x14ac:dyDescent="0.25">
      <c r="A41" s="31"/>
      <c r="B41" s="507" t="s">
        <v>57</v>
      </c>
      <c r="C41" s="507"/>
      <c r="D41" s="507"/>
      <c r="E41" s="262"/>
      <c r="F41" s="262"/>
      <c r="G41" s="90"/>
      <c r="H41" s="31"/>
      <c r="I41" s="31"/>
    </row>
  </sheetData>
  <mergeCells count="57">
    <mergeCell ref="B41:D41"/>
    <mergeCell ref="B34:C34"/>
    <mergeCell ref="E34:G34"/>
    <mergeCell ref="B35:C35"/>
    <mergeCell ref="E35:G35"/>
    <mergeCell ref="A37:I37"/>
    <mergeCell ref="B40:D40"/>
    <mergeCell ref="F40:H40"/>
    <mergeCell ref="B31:C31"/>
    <mergeCell ref="E31:G31"/>
    <mergeCell ref="B32:C32"/>
    <mergeCell ref="E32:G32"/>
    <mergeCell ref="B33:C33"/>
    <mergeCell ref="E33:G33"/>
    <mergeCell ref="B26:C26"/>
    <mergeCell ref="E26:G26"/>
    <mergeCell ref="B27:C27"/>
    <mergeCell ref="E27:G27"/>
    <mergeCell ref="B29:C29"/>
    <mergeCell ref="E29:G29"/>
    <mergeCell ref="E25:G25"/>
    <mergeCell ref="B17:C17"/>
    <mergeCell ref="E17:G17"/>
    <mergeCell ref="B18:C18"/>
    <mergeCell ref="B19:C19"/>
    <mergeCell ref="B20:C20"/>
    <mergeCell ref="E20:G20"/>
    <mergeCell ref="B21:C21"/>
    <mergeCell ref="B22:C22"/>
    <mergeCell ref="B23:C23"/>
    <mergeCell ref="B24:C24"/>
    <mergeCell ref="B25:C25"/>
    <mergeCell ref="B14:C14"/>
    <mergeCell ref="E14:G14"/>
    <mergeCell ref="B15:C15"/>
    <mergeCell ref="E15:G15"/>
    <mergeCell ref="B16:C16"/>
    <mergeCell ref="E16:G16"/>
    <mergeCell ref="B13:C13"/>
    <mergeCell ref="E13:G13"/>
    <mergeCell ref="A7:A8"/>
    <mergeCell ref="B7:C8"/>
    <mergeCell ref="D7:D8"/>
    <mergeCell ref="E7:G8"/>
    <mergeCell ref="B9:C9"/>
    <mergeCell ref="B10:C10"/>
    <mergeCell ref="E10:G10"/>
    <mergeCell ref="B12:C12"/>
    <mergeCell ref="E12:G12"/>
    <mergeCell ref="H7:H8"/>
    <mergeCell ref="I7:I8"/>
    <mergeCell ref="G1:I1"/>
    <mergeCell ref="F2:I2"/>
    <mergeCell ref="F3:I3"/>
    <mergeCell ref="F4:I4"/>
    <mergeCell ref="A5:I5"/>
    <mergeCell ref="A6:I6"/>
  </mergeCells>
  <pageMargins left="0.25" right="0.25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1"/>
  <sheetViews>
    <sheetView topLeftCell="A19" workbookViewId="0">
      <selection activeCell="C46" sqref="C46"/>
    </sheetView>
  </sheetViews>
  <sheetFormatPr defaultRowHeight="15" x14ac:dyDescent="0.25"/>
  <cols>
    <col min="2" max="2" width="21.140625" customWidth="1"/>
    <col min="5" max="5" width="7.140625" customWidth="1"/>
    <col min="7" max="7" width="7" customWidth="1"/>
    <col min="8" max="9" width="12" customWidth="1"/>
  </cols>
  <sheetData>
    <row r="1" spans="1:9" ht="15.75" x14ac:dyDescent="0.25">
      <c r="A1" s="96"/>
      <c r="B1" s="46"/>
      <c r="C1" s="46"/>
      <c r="D1" s="46"/>
      <c r="E1" s="46"/>
      <c r="F1" s="96"/>
      <c r="G1" s="346" t="s">
        <v>167</v>
      </c>
      <c r="H1" s="346"/>
      <c r="I1" s="346"/>
    </row>
    <row r="2" spans="1:9" ht="15.75" x14ac:dyDescent="0.25">
      <c r="A2" s="95"/>
      <c r="B2" s="46"/>
      <c r="C2" s="46"/>
      <c r="D2" s="46"/>
      <c r="E2" s="46"/>
      <c r="F2" s="346" t="s">
        <v>61</v>
      </c>
      <c r="G2" s="346"/>
      <c r="H2" s="346"/>
      <c r="I2" s="346"/>
    </row>
    <row r="3" spans="1:9" ht="15.75" x14ac:dyDescent="0.25">
      <c r="A3" s="95"/>
      <c r="B3" s="46"/>
      <c r="C3" s="46"/>
      <c r="D3" s="46"/>
      <c r="E3" s="46"/>
      <c r="F3" s="346" t="s">
        <v>416</v>
      </c>
      <c r="G3" s="346"/>
      <c r="H3" s="346"/>
      <c r="I3" s="346"/>
    </row>
    <row r="4" spans="1:9" ht="15.75" x14ac:dyDescent="0.25">
      <c r="A4" s="95"/>
      <c r="B4" s="46"/>
      <c r="C4" s="46"/>
      <c r="D4" s="46"/>
      <c r="E4" s="46"/>
      <c r="F4" s="346" t="s">
        <v>425</v>
      </c>
      <c r="G4" s="346"/>
      <c r="H4" s="346"/>
      <c r="I4" s="346"/>
    </row>
    <row r="5" spans="1:9" ht="15.75" x14ac:dyDescent="0.25">
      <c r="A5" s="447" t="s">
        <v>98</v>
      </c>
      <c r="B5" s="447"/>
      <c r="C5" s="447"/>
      <c r="D5" s="447"/>
      <c r="E5" s="447"/>
      <c r="F5" s="447"/>
      <c r="G5" s="447"/>
      <c r="H5" s="447"/>
      <c r="I5" s="447"/>
    </row>
    <row r="6" spans="1:9" ht="15.75" x14ac:dyDescent="0.25">
      <c r="A6" s="458" t="s">
        <v>306</v>
      </c>
      <c r="B6" s="458"/>
      <c r="C6" s="458"/>
      <c r="D6" s="458"/>
      <c r="E6" s="458"/>
      <c r="F6" s="458"/>
      <c r="G6" s="458"/>
      <c r="H6" s="458"/>
      <c r="I6" s="458"/>
    </row>
    <row r="7" spans="1:9" x14ac:dyDescent="0.25">
      <c r="A7" s="448" t="s">
        <v>14</v>
      </c>
      <c r="B7" s="450" t="s">
        <v>100</v>
      </c>
      <c r="C7" s="450"/>
      <c r="D7" s="450" t="s">
        <v>237</v>
      </c>
      <c r="E7" s="451" t="s">
        <v>238</v>
      </c>
      <c r="F7" s="452"/>
      <c r="G7" s="453"/>
      <c r="H7" s="450" t="s">
        <v>277</v>
      </c>
      <c r="I7" s="450" t="s">
        <v>302</v>
      </c>
    </row>
    <row r="8" spans="1:9" x14ac:dyDescent="0.25">
      <c r="A8" s="449"/>
      <c r="B8" s="450"/>
      <c r="C8" s="450"/>
      <c r="D8" s="450"/>
      <c r="E8" s="454"/>
      <c r="F8" s="455"/>
      <c r="G8" s="456"/>
      <c r="H8" s="450"/>
      <c r="I8" s="450"/>
    </row>
    <row r="9" spans="1:9" x14ac:dyDescent="0.25">
      <c r="A9" s="97">
        <v>1</v>
      </c>
      <c r="B9" s="463" t="s">
        <v>109</v>
      </c>
      <c r="C9" s="464"/>
      <c r="D9" s="221" t="s">
        <v>103</v>
      </c>
      <c r="E9" s="222">
        <v>130.1</v>
      </c>
      <c r="F9" s="110" t="s">
        <v>249</v>
      </c>
      <c r="G9" s="195"/>
      <c r="H9" s="223">
        <f>I9/35</f>
        <v>5.5757142857142847</v>
      </c>
      <c r="I9" s="223">
        <f>E9*1.5</f>
        <v>195.14999999999998</v>
      </c>
    </row>
    <row r="10" spans="1:9" ht="24" customHeight="1" x14ac:dyDescent="0.25">
      <c r="A10" s="224"/>
      <c r="B10" s="497" t="s">
        <v>307</v>
      </c>
      <c r="C10" s="496"/>
      <c r="D10" s="224"/>
      <c r="E10" s="497"/>
      <c r="F10" s="495"/>
      <c r="G10" s="496"/>
      <c r="H10" s="225">
        <f>I10/35</f>
        <v>1.8585714285714281</v>
      </c>
      <c r="I10" s="225">
        <f>I9-E9</f>
        <v>65.049999999999983</v>
      </c>
    </row>
    <row r="11" spans="1:9" ht="3.75" customHeight="1" x14ac:dyDescent="0.25">
      <c r="A11" s="97"/>
      <c r="B11" s="248"/>
      <c r="C11" s="250"/>
      <c r="D11" s="224"/>
      <c r="E11" s="248"/>
      <c r="F11" s="249"/>
      <c r="G11" s="250"/>
      <c r="H11" s="225"/>
      <c r="I11" s="223"/>
    </row>
    <row r="12" spans="1:9" x14ac:dyDescent="0.25">
      <c r="A12" s="97">
        <v>2</v>
      </c>
      <c r="B12" s="463" t="s">
        <v>110</v>
      </c>
      <c r="C12" s="464"/>
      <c r="D12" s="221" t="s">
        <v>103</v>
      </c>
      <c r="E12" s="468">
        <v>0.30199999999999999</v>
      </c>
      <c r="F12" s="469"/>
      <c r="G12" s="470"/>
      <c r="H12" s="223">
        <f>H9*E12</f>
        <v>1.6838657142857139</v>
      </c>
      <c r="I12" s="223">
        <f>I9*E12</f>
        <v>58.935299999999991</v>
      </c>
    </row>
    <row r="13" spans="1:9" ht="3.75" customHeight="1" x14ac:dyDescent="0.25">
      <c r="A13" s="97"/>
      <c r="B13" s="471"/>
      <c r="C13" s="473"/>
      <c r="D13" s="226"/>
      <c r="E13" s="471"/>
      <c r="F13" s="472"/>
      <c r="G13" s="473"/>
      <c r="H13" s="225"/>
      <c r="I13" s="223"/>
    </row>
    <row r="14" spans="1:9" x14ac:dyDescent="0.25">
      <c r="A14" s="97">
        <v>3</v>
      </c>
      <c r="B14" s="463" t="s">
        <v>111</v>
      </c>
      <c r="C14" s="464"/>
      <c r="D14" s="221" t="s">
        <v>103</v>
      </c>
      <c r="E14" s="471"/>
      <c r="F14" s="472"/>
      <c r="G14" s="473"/>
      <c r="H14" s="223">
        <f>'Пробег КО-829'!F45</f>
        <v>41.919465012277627</v>
      </c>
      <c r="I14" s="223">
        <f>'Пробег КО-829'!G47</f>
        <v>419.1946501227763</v>
      </c>
    </row>
    <row r="15" spans="1:9" ht="3.75" customHeight="1" x14ac:dyDescent="0.25">
      <c r="A15" s="97"/>
      <c r="B15" s="471"/>
      <c r="C15" s="473"/>
      <c r="D15" s="226"/>
      <c r="E15" s="471"/>
      <c r="F15" s="472"/>
      <c r="G15" s="473"/>
      <c r="H15" s="225"/>
      <c r="I15" s="223"/>
    </row>
    <row r="16" spans="1:9" x14ac:dyDescent="0.25">
      <c r="A16" s="97">
        <v>4</v>
      </c>
      <c r="B16" s="463" t="s">
        <v>113</v>
      </c>
      <c r="C16" s="464"/>
      <c r="D16" s="221" t="s">
        <v>103</v>
      </c>
      <c r="E16" s="471"/>
      <c r="F16" s="472"/>
      <c r="G16" s="472"/>
      <c r="H16" s="223">
        <f>'Пробег КО-829'!H44</f>
        <v>11.772421756166256</v>
      </c>
      <c r="I16" s="223">
        <f>'Пробег КО-829'!I47</f>
        <v>117.72421756166256</v>
      </c>
    </row>
    <row r="17" spans="1:9" ht="3.75" customHeight="1" x14ac:dyDescent="0.25">
      <c r="A17" s="97"/>
      <c r="B17" s="471"/>
      <c r="C17" s="473"/>
      <c r="D17" s="226"/>
      <c r="E17" s="472"/>
      <c r="F17" s="472"/>
      <c r="G17" s="472"/>
      <c r="H17" s="225"/>
      <c r="I17" s="225"/>
    </row>
    <row r="18" spans="1:9" x14ac:dyDescent="0.25">
      <c r="A18" s="97">
        <v>5</v>
      </c>
      <c r="B18" s="463" t="s">
        <v>114</v>
      </c>
      <c r="C18" s="464"/>
      <c r="D18" s="224" t="s">
        <v>303</v>
      </c>
      <c r="E18" s="227"/>
      <c r="F18" s="228"/>
      <c r="G18" s="228"/>
      <c r="H18" s="229">
        <v>0.34</v>
      </c>
      <c r="I18" s="229">
        <v>10</v>
      </c>
    </row>
    <row r="19" spans="1:9" x14ac:dyDescent="0.25">
      <c r="A19" s="97"/>
      <c r="B19" s="505" t="s">
        <v>250</v>
      </c>
      <c r="C19" s="506"/>
      <c r="D19" s="221" t="s">
        <v>103</v>
      </c>
      <c r="E19" s="232">
        <v>31.61</v>
      </c>
      <c r="F19" s="228" t="s">
        <v>103</v>
      </c>
      <c r="G19" s="232"/>
      <c r="H19" s="223">
        <f>H18*$E$19</f>
        <v>10.747400000000001</v>
      </c>
      <c r="I19" s="223">
        <f>I18*$E$19</f>
        <v>316.10000000000002</v>
      </c>
    </row>
    <row r="20" spans="1:9" x14ac:dyDescent="0.25">
      <c r="A20" s="97">
        <v>6</v>
      </c>
      <c r="B20" s="463" t="s">
        <v>117</v>
      </c>
      <c r="C20" s="464"/>
      <c r="D20" s="221"/>
      <c r="E20" s="472"/>
      <c r="F20" s="472"/>
      <c r="G20" s="472"/>
      <c r="H20" s="225"/>
      <c r="I20" s="225"/>
    </row>
    <row r="21" spans="1:9" ht="25.5" x14ac:dyDescent="0.25">
      <c r="A21" s="97"/>
      <c r="B21" s="466" t="s">
        <v>118</v>
      </c>
      <c r="C21" s="467"/>
      <c r="D21" s="221" t="s">
        <v>103</v>
      </c>
      <c r="E21" s="233">
        <v>2.8000000000000001E-2</v>
      </c>
      <c r="F21" s="234" t="s">
        <v>251</v>
      </c>
      <c r="G21" s="232">
        <v>142.72999999999999</v>
      </c>
      <c r="H21" s="225">
        <f>E21*$H$18*G21</f>
        <v>1.3587895999999999</v>
      </c>
      <c r="I21" s="225">
        <f>E21*$I$18*G21</f>
        <v>39.964399999999998</v>
      </c>
    </row>
    <row r="22" spans="1:9" ht="25.5" x14ac:dyDescent="0.25">
      <c r="A22" s="97"/>
      <c r="B22" s="466" t="s">
        <v>120</v>
      </c>
      <c r="C22" s="467"/>
      <c r="D22" s="221" t="s">
        <v>103</v>
      </c>
      <c r="E22" s="233">
        <v>4.0000000000000001E-3</v>
      </c>
      <c r="F22" s="235" t="s">
        <v>121</v>
      </c>
      <c r="G22" s="232">
        <v>88.65</v>
      </c>
      <c r="H22" s="225">
        <f>E22*$H$18*G22</f>
        <v>0.12056400000000002</v>
      </c>
      <c r="I22" s="225">
        <f>E22*$I$18*G22</f>
        <v>3.5460000000000003</v>
      </c>
    </row>
    <row r="23" spans="1:9" ht="25.5" x14ac:dyDescent="0.25">
      <c r="A23" s="97"/>
      <c r="B23" s="466" t="s">
        <v>122</v>
      </c>
      <c r="C23" s="467"/>
      <c r="D23" s="221" t="s">
        <v>103</v>
      </c>
      <c r="E23" s="233">
        <v>1.4999999999999999E-2</v>
      </c>
      <c r="F23" s="235" t="s">
        <v>121</v>
      </c>
      <c r="G23" s="232">
        <v>56.75</v>
      </c>
      <c r="H23" s="225">
        <f>E23*$H$18*G23</f>
        <v>0.28942500000000004</v>
      </c>
      <c r="I23" s="225">
        <f>E23*$I$18*G23</f>
        <v>8.5124999999999993</v>
      </c>
    </row>
    <row r="24" spans="1:9" ht="25.5" x14ac:dyDescent="0.25">
      <c r="A24" s="97"/>
      <c r="B24" s="466" t="s">
        <v>123</v>
      </c>
      <c r="C24" s="467"/>
      <c r="D24" s="221" t="s">
        <v>103</v>
      </c>
      <c r="E24" s="233">
        <v>3.5000000000000003E-2</v>
      </c>
      <c r="F24" s="235" t="s">
        <v>121</v>
      </c>
      <c r="G24" s="232">
        <v>100.17</v>
      </c>
      <c r="H24" s="225">
        <f>E24*$H$18*G24</f>
        <v>1.1920230000000003</v>
      </c>
      <c r="I24" s="225">
        <f>E24*$I$18*G24</f>
        <v>35.059500000000007</v>
      </c>
    </row>
    <row r="25" spans="1:9" x14ac:dyDescent="0.25">
      <c r="A25" s="97"/>
      <c r="B25" s="466" t="s">
        <v>124</v>
      </c>
      <c r="C25" s="467"/>
      <c r="D25" s="221"/>
      <c r="E25" s="497"/>
      <c r="F25" s="495"/>
      <c r="G25" s="496"/>
      <c r="H25" s="223">
        <f>SUM(H21:H24)</f>
        <v>2.9608016000000004</v>
      </c>
      <c r="I25" s="223">
        <f>SUM(I21:I24)</f>
        <v>87.082400000000007</v>
      </c>
    </row>
    <row r="26" spans="1:9" ht="3.75" customHeight="1" x14ac:dyDescent="0.25">
      <c r="A26" s="97"/>
      <c r="B26" s="497"/>
      <c r="C26" s="496"/>
      <c r="D26" s="226"/>
      <c r="E26" s="495"/>
      <c r="F26" s="495"/>
      <c r="G26" s="495"/>
      <c r="H26" s="225"/>
      <c r="I26" s="225"/>
    </row>
    <row r="27" spans="1:9" x14ac:dyDescent="0.25">
      <c r="A27" s="97">
        <v>9</v>
      </c>
      <c r="B27" s="463" t="s">
        <v>125</v>
      </c>
      <c r="C27" s="464"/>
      <c r="D27" s="226"/>
      <c r="E27" s="468">
        <v>0.62</v>
      </c>
      <c r="F27" s="469"/>
      <c r="G27" s="470"/>
      <c r="H27" s="223">
        <f>H9*E27</f>
        <v>3.4569428571428564</v>
      </c>
      <c r="I27" s="223">
        <v>63.5</v>
      </c>
    </row>
    <row r="28" spans="1:9" ht="3.75" customHeight="1" x14ac:dyDescent="0.25">
      <c r="A28" s="97"/>
      <c r="B28" s="239"/>
      <c r="C28" s="240"/>
      <c r="D28" s="226"/>
      <c r="E28" s="245"/>
      <c r="F28" s="234"/>
      <c r="G28" s="246"/>
      <c r="H28" s="223"/>
      <c r="I28" s="223"/>
    </row>
    <row r="29" spans="1:9" x14ac:dyDescent="0.25">
      <c r="A29" s="97">
        <v>10</v>
      </c>
      <c r="B29" s="463" t="s">
        <v>126</v>
      </c>
      <c r="C29" s="464"/>
      <c r="D29" s="247"/>
      <c r="E29" s="354"/>
      <c r="F29" s="354"/>
      <c r="G29" s="354"/>
      <c r="H29" s="223">
        <f>H9+H12+H14+H16+H19+H25+H27</f>
        <v>78.116611225586738</v>
      </c>
      <c r="I29" s="223">
        <f>I9+I12+I14+I16+I19+I25+I27+0.01</f>
        <v>1257.6965676844388</v>
      </c>
    </row>
    <row r="30" spans="1:9" ht="3.75" customHeight="1" x14ac:dyDescent="0.25">
      <c r="A30" s="97"/>
      <c r="B30" s="239"/>
      <c r="C30" s="240"/>
      <c r="D30" s="247"/>
      <c r="E30" s="248"/>
      <c r="F30" s="249"/>
      <c r="G30" s="250"/>
      <c r="H30" s="223"/>
      <c r="I30" s="223"/>
    </row>
    <row r="31" spans="1:9" x14ac:dyDescent="0.25">
      <c r="A31" s="97">
        <v>11</v>
      </c>
      <c r="B31" s="463" t="s">
        <v>127</v>
      </c>
      <c r="C31" s="464"/>
      <c r="D31" s="247"/>
      <c r="E31" s="471"/>
      <c r="F31" s="472"/>
      <c r="G31" s="473"/>
      <c r="H31" s="223"/>
      <c r="I31" s="223"/>
    </row>
    <row r="32" spans="1:9" ht="29.25" customHeight="1" x14ac:dyDescent="0.25">
      <c r="A32" s="224"/>
      <c r="B32" s="466" t="s">
        <v>128</v>
      </c>
      <c r="C32" s="467"/>
      <c r="D32" s="226" t="s">
        <v>103</v>
      </c>
      <c r="E32" s="499">
        <v>0.1</v>
      </c>
      <c r="F32" s="500"/>
      <c r="G32" s="501"/>
      <c r="H32" s="225">
        <f>H29*E32</f>
        <v>7.8116611225586743</v>
      </c>
      <c r="I32" s="225">
        <f>I29*$E$32</f>
        <v>125.76965676844389</v>
      </c>
    </row>
    <row r="33" spans="1:9" ht="29.25" customHeight="1" x14ac:dyDescent="0.25">
      <c r="A33" s="224"/>
      <c r="B33" s="466" t="s">
        <v>129</v>
      </c>
      <c r="C33" s="467"/>
      <c r="D33" s="226" t="s">
        <v>103</v>
      </c>
      <c r="E33" s="499">
        <v>0.15</v>
      </c>
      <c r="F33" s="500"/>
      <c r="G33" s="501"/>
      <c r="H33" s="225">
        <f>H29*E33</f>
        <v>11.717491683838011</v>
      </c>
      <c r="I33" s="225">
        <f>I29*$E$33</f>
        <v>188.65448515266581</v>
      </c>
    </row>
    <row r="34" spans="1:9" ht="29.25" customHeight="1" x14ac:dyDescent="0.25">
      <c r="A34" s="224"/>
      <c r="B34" s="466" t="s">
        <v>128</v>
      </c>
      <c r="C34" s="467"/>
      <c r="D34" s="226" t="s">
        <v>103</v>
      </c>
      <c r="E34" s="497"/>
      <c r="F34" s="495"/>
      <c r="G34" s="496"/>
      <c r="H34" s="223">
        <f>H29+H32</f>
        <v>85.928272348145413</v>
      </c>
      <c r="I34" s="223">
        <f>I29+I32</f>
        <v>1383.4662244528827</v>
      </c>
    </row>
    <row r="35" spans="1:9" ht="29.25" customHeight="1" x14ac:dyDescent="0.25">
      <c r="A35" s="224"/>
      <c r="B35" s="466" t="s">
        <v>129</v>
      </c>
      <c r="C35" s="467"/>
      <c r="D35" s="226" t="s">
        <v>103</v>
      </c>
      <c r="E35" s="497"/>
      <c r="F35" s="495"/>
      <c r="G35" s="496"/>
      <c r="H35" s="223">
        <f>H29+H33+0.01</f>
        <v>89.844102909424748</v>
      </c>
      <c r="I35" s="223">
        <f>I29+I33</f>
        <v>1446.3510528371046</v>
      </c>
    </row>
    <row r="36" spans="1:9" ht="3.75" customHeight="1" x14ac:dyDescent="0.25">
      <c r="A36" s="111"/>
      <c r="B36" s="112"/>
      <c r="C36" s="112"/>
      <c r="D36" s="263"/>
      <c r="E36" s="111"/>
      <c r="F36" s="111"/>
      <c r="G36" s="111"/>
      <c r="H36" s="252"/>
      <c r="I36" s="252"/>
    </row>
    <row r="37" spans="1:9" ht="57.75" customHeight="1" x14ac:dyDescent="0.25">
      <c r="A37" s="508" t="s">
        <v>304</v>
      </c>
      <c r="B37" s="508"/>
      <c r="C37" s="508"/>
      <c r="D37" s="508"/>
      <c r="E37" s="508"/>
      <c r="F37" s="508"/>
      <c r="G37" s="508"/>
      <c r="H37" s="508"/>
      <c r="I37" s="508"/>
    </row>
    <row r="38" spans="1:9" ht="15.75" x14ac:dyDescent="0.25">
      <c r="A38" s="111"/>
      <c r="B38" s="46"/>
      <c r="C38" s="46"/>
      <c r="D38" s="46"/>
      <c r="E38" s="46"/>
      <c r="F38" s="111"/>
      <c r="G38" s="111"/>
      <c r="H38" s="255"/>
      <c r="I38" s="255"/>
    </row>
    <row r="39" spans="1:9" ht="15.75" x14ac:dyDescent="0.25">
      <c r="A39" s="111"/>
      <c r="B39" s="46"/>
      <c r="C39" s="46"/>
      <c r="D39" s="46"/>
      <c r="E39" s="46"/>
      <c r="F39" s="111"/>
      <c r="G39" s="111"/>
      <c r="H39" s="255"/>
      <c r="I39" s="255"/>
    </row>
    <row r="40" spans="1:9" ht="15.75" x14ac:dyDescent="0.25">
      <c r="A40" s="45"/>
      <c r="B40" s="382" t="s">
        <v>305</v>
      </c>
      <c r="C40" s="382"/>
      <c r="D40" s="382"/>
      <c r="E40" s="90"/>
      <c r="F40" s="509" t="s">
        <v>58</v>
      </c>
      <c r="G40" s="509"/>
      <c r="H40" s="509"/>
      <c r="I40" s="45"/>
    </row>
    <row r="41" spans="1:9" ht="15.75" x14ac:dyDescent="0.25">
      <c r="A41" s="31"/>
      <c r="B41" s="507" t="s">
        <v>57</v>
      </c>
      <c r="C41" s="507"/>
      <c r="D41" s="507"/>
      <c r="E41" s="262"/>
      <c r="F41" s="262"/>
      <c r="G41" s="90"/>
      <c r="H41" s="31"/>
      <c r="I41" s="31"/>
    </row>
  </sheetData>
  <mergeCells count="57">
    <mergeCell ref="B41:D41"/>
    <mergeCell ref="B34:C34"/>
    <mergeCell ref="E34:G34"/>
    <mergeCell ref="B35:C35"/>
    <mergeCell ref="E35:G35"/>
    <mergeCell ref="A37:I37"/>
    <mergeCell ref="B40:D40"/>
    <mergeCell ref="F40:H40"/>
    <mergeCell ref="B31:C31"/>
    <mergeCell ref="E31:G31"/>
    <mergeCell ref="B32:C32"/>
    <mergeCell ref="E32:G32"/>
    <mergeCell ref="B33:C33"/>
    <mergeCell ref="E33:G33"/>
    <mergeCell ref="B26:C26"/>
    <mergeCell ref="E26:G26"/>
    <mergeCell ref="B27:C27"/>
    <mergeCell ref="E27:G27"/>
    <mergeCell ref="B29:C29"/>
    <mergeCell ref="E29:G29"/>
    <mergeCell ref="E25:G25"/>
    <mergeCell ref="B17:C17"/>
    <mergeCell ref="E17:G17"/>
    <mergeCell ref="B18:C18"/>
    <mergeCell ref="B19:C19"/>
    <mergeCell ref="B20:C20"/>
    <mergeCell ref="E20:G20"/>
    <mergeCell ref="B21:C21"/>
    <mergeCell ref="B22:C22"/>
    <mergeCell ref="B23:C23"/>
    <mergeCell ref="B24:C24"/>
    <mergeCell ref="B25:C25"/>
    <mergeCell ref="B14:C14"/>
    <mergeCell ref="E14:G14"/>
    <mergeCell ref="B15:C15"/>
    <mergeCell ref="E15:G15"/>
    <mergeCell ref="B16:C16"/>
    <mergeCell ref="E16:G16"/>
    <mergeCell ref="B13:C13"/>
    <mergeCell ref="E13:G13"/>
    <mergeCell ref="A7:A8"/>
    <mergeCell ref="B7:C8"/>
    <mergeCell ref="D7:D8"/>
    <mergeCell ref="E7:G8"/>
    <mergeCell ref="B9:C9"/>
    <mergeCell ref="B10:C10"/>
    <mergeCell ref="E10:G10"/>
    <mergeCell ref="B12:C12"/>
    <mergeCell ref="E12:G12"/>
    <mergeCell ref="H7:H8"/>
    <mergeCell ref="I7:I8"/>
    <mergeCell ref="G1:I1"/>
    <mergeCell ref="F2:I2"/>
    <mergeCell ref="F3:I3"/>
    <mergeCell ref="F4:I4"/>
    <mergeCell ref="A5:I5"/>
    <mergeCell ref="A6:I6"/>
  </mergeCells>
  <pageMargins left="0.25" right="0.25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54"/>
  <sheetViews>
    <sheetView topLeftCell="A16" workbookViewId="0">
      <selection activeCell="L48" sqref="L48"/>
    </sheetView>
  </sheetViews>
  <sheetFormatPr defaultRowHeight="15" x14ac:dyDescent="0.25"/>
  <cols>
    <col min="1" max="1" width="24.85546875" customWidth="1"/>
    <col min="2" max="3" width="9.28515625" customWidth="1"/>
    <col min="4" max="4" width="12.85546875" customWidth="1"/>
    <col min="5" max="5" width="9.5703125" customWidth="1"/>
    <col min="6" max="6" width="8.5703125" customWidth="1"/>
    <col min="7" max="7" width="8.42578125" customWidth="1"/>
    <col min="8" max="8" width="8.28515625" customWidth="1"/>
    <col min="9" max="9" width="8.7109375" customWidth="1"/>
    <col min="10" max="10" width="7.28515625" customWidth="1"/>
    <col min="11" max="11" width="8.28515625" customWidth="1"/>
  </cols>
  <sheetData>
    <row r="1" spans="1:11" x14ac:dyDescent="0.25">
      <c r="A1" s="317" t="s">
        <v>308</v>
      </c>
      <c r="B1" s="317"/>
      <c r="C1" s="317"/>
      <c r="D1" s="317"/>
      <c r="E1" s="317"/>
      <c r="F1" s="317"/>
      <c r="G1" s="317"/>
      <c r="H1" s="317"/>
      <c r="I1" s="317"/>
      <c r="J1" s="317"/>
      <c r="K1" s="317"/>
    </row>
    <row r="2" spans="1:11" x14ac:dyDescent="0.25">
      <c r="A2" s="317" t="s">
        <v>309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</row>
    <row r="3" spans="1:11" ht="24" customHeight="1" x14ac:dyDescent="0.25">
      <c r="A3" s="316" t="s">
        <v>310</v>
      </c>
      <c r="B3" s="316"/>
      <c r="C3" s="316"/>
      <c r="D3" s="316"/>
      <c r="E3" s="316"/>
      <c r="F3" s="316"/>
      <c r="G3" s="93"/>
      <c r="H3" s="3"/>
      <c r="I3" s="3"/>
      <c r="J3" s="3"/>
      <c r="K3" s="3"/>
    </row>
    <row r="4" spans="1:11" x14ac:dyDescent="0.25">
      <c r="A4" s="316" t="s">
        <v>311</v>
      </c>
      <c r="B4" s="316"/>
      <c r="C4" s="316"/>
      <c r="D4" s="316"/>
      <c r="E4" s="316"/>
      <c r="F4" s="316"/>
      <c r="G4" s="316"/>
      <c r="H4" s="316"/>
      <c r="I4" s="93"/>
      <c r="J4" s="94"/>
      <c r="K4" s="94"/>
    </row>
    <row r="5" spans="1:11" x14ac:dyDescent="0.25">
      <c r="A5" s="93"/>
      <c r="B5" s="93"/>
      <c r="C5" s="93"/>
      <c r="D5" s="93"/>
      <c r="E5" s="93"/>
      <c r="F5" s="93"/>
      <c r="G5" s="93"/>
      <c r="H5" s="93"/>
      <c r="I5" s="93"/>
      <c r="J5" s="94"/>
      <c r="K5" s="94"/>
    </row>
    <row r="6" spans="1:11" x14ac:dyDescent="0.25">
      <c r="A6" s="316" t="s">
        <v>135</v>
      </c>
      <c r="B6" s="316"/>
      <c r="C6" s="316"/>
      <c r="D6" s="316"/>
      <c r="E6" s="316"/>
      <c r="F6" s="316"/>
      <c r="G6" s="316"/>
      <c r="H6" s="316"/>
      <c r="I6" s="93"/>
      <c r="J6" s="3"/>
      <c r="K6" s="94"/>
    </row>
    <row r="7" spans="1:11" x14ac:dyDescent="0.25">
      <c r="A7" s="94"/>
      <c r="B7" s="5">
        <f>'План. расчет времени'!F31</f>
        <v>499.67164167295249</v>
      </c>
      <c r="C7" s="3" t="s">
        <v>136</v>
      </c>
      <c r="D7" s="3"/>
      <c r="E7" s="3"/>
      <c r="F7" s="3"/>
      <c r="G7" s="3"/>
      <c r="H7" s="3"/>
      <c r="I7" s="3"/>
      <c r="J7" s="3"/>
      <c r="K7" s="94"/>
    </row>
    <row r="8" spans="1:11" x14ac:dyDescent="0.25">
      <c r="A8" s="316" t="s">
        <v>137</v>
      </c>
      <c r="B8" s="316"/>
      <c r="C8" s="316"/>
      <c r="D8" s="316"/>
      <c r="E8" s="316"/>
      <c r="F8" s="316"/>
      <c r="G8" s="316"/>
      <c r="H8" s="316"/>
      <c r="I8" s="93"/>
      <c r="J8" s="93"/>
      <c r="K8" s="94"/>
    </row>
    <row r="9" spans="1:11" x14ac:dyDescent="0.25">
      <c r="A9" s="3"/>
      <c r="B9" s="3">
        <v>40</v>
      </c>
      <c r="C9" s="3" t="s">
        <v>136</v>
      </c>
      <c r="D9" s="3"/>
      <c r="E9" s="3"/>
      <c r="F9" s="3"/>
      <c r="G9" s="3"/>
      <c r="H9" s="3"/>
      <c r="I9" s="3"/>
      <c r="J9" s="93"/>
      <c r="K9" s="94"/>
    </row>
    <row r="10" spans="1:11" x14ac:dyDescent="0.25">
      <c r="A10" s="316" t="s">
        <v>173</v>
      </c>
      <c r="B10" s="316"/>
      <c r="C10" s="316"/>
      <c r="D10" s="316"/>
      <c r="E10" s="316"/>
      <c r="F10" s="316"/>
      <c r="G10" s="316"/>
      <c r="H10" s="316"/>
      <c r="I10" s="316"/>
      <c r="J10" s="316"/>
      <c r="K10" s="94"/>
    </row>
    <row r="11" spans="1:11" x14ac:dyDescent="0.25">
      <c r="A11" s="3"/>
      <c r="B11" s="3">
        <v>20</v>
      </c>
      <c r="C11" s="3" t="s">
        <v>136</v>
      </c>
      <c r="D11" s="94"/>
      <c r="E11" s="94"/>
      <c r="F11" s="94"/>
      <c r="G11" s="94"/>
      <c r="H11" s="3"/>
      <c r="I11" s="3"/>
      <c r="J11" s="3"/>
      <c r="K11" s="94"/>
    </row>
    <row r="12" spans="1:11" x14ac:dyDescent="0.25">
      <c r="A12" s="404" t="s">
        <v>141</v>
      </c>
      <c r="B12" s="404"/>
      <c r="C12" s="404"/>
      <c r="D12" s="158">
        <f>B7-B9-B11</f>
        <v>439.67164167295249</v>
      </c>
      <c r="E12" s="159" t="s">
        <v>136</v>
      </c>
      <c r="F12" s="94"/>
      <c r="G12" s="159"/>
      <c r="H12" s="159"/>
      <c r="I12" s="159"/>
      <c r="J12" s="9"/>
      <c r="K12" s="94"/>
    </row>
    <row r="13" spans="1:11" x14ac:dyDescent="0.25">
      <c r="A13" s="404"/>
      <c r="B13" s="404"/>
      <c r="C13" s="404"/>
      <c r="D13" s="158"/>
      <c r="E13" s="158"/>
      <c r="F13" s="159"/>
      <c r="G13" s="159"/>
      <c r="H13" s="159"/>
      <c r="I13" s="159"/>
      <c r="J13" s="9"/>
      <c r="K13" s="94"/>
    </row>
    <row r="14" spans="1:11" x14ac:dyDescent="0.25">
      <c r="A14" s="160"/>
      <c r="B14" s="160"/>
      <c r="C14" s="160"/>
      <c r="D14" s="158"/>
      <c r="E14" s="158"/>
      <c r="F14" s="159"/>
      <c r="G14" s="159"/>
      <c r="H14" s="159"/>
      <c r="I14" s="159"/>
      <c r="J14" s="9"/>
      <c r="K14" s="94"/>
    </row>
    <row r="15" spans="1:11" x14ac:dyDescent="0.25">
      <c r="A15" s="12"/>
      <c r="B15" s="12"/>
      <c r="C15" s="12"/>
      <c r="D15" s="12"/>
      <c r="E15" s="12"/>
      <c r="F15" s="12"/>
      <c r="G15" s="12"/>
      <c r="H15" s="320" t="s">
        <v>13</v>
      </c>
      <c r="I15" s="320"/>
      <c r="J15" s="94"/>
      <c r="K15" s="94"/>
    </row>
    <row r="16" spans="1:11" ht="9.75" customHeight="1" x14ac:dyDescent="0.25">
      <c r="A16" s="321" t="s">
        <v>312</v>
      </c>
      <c r="B16" s="321"/>
      <c r="C16" s="321"/>
      <c r="D16" s="321"/>
      <c r="E16" s="321"/>
      <c r="F16" s="321"/>
      <c r="G16" s="321"/>
      <c r="H16" s="321"/>
      <c r="I16" s="321"/>
      <c r="J16" s="512"/>
      <c r="K16" s="512"/>
    </row>
    <row r="17" spans="1:11" x14ac:dyDescent="0.25">
      <c r="A17" s="377" t="s">
        <v>16</v>
      </c>
      <c r="B17" s="377" t="s">
        <v>313</v>
      </c>
      <c r="C17" s="377" t="s">
        <v>314</v>
      </c>
      <c r="D17" s="377" t="s">
        <v>315</v>
      </c>
      <c r="E17" s="377" t="s">
        <v>316</v>
      </c>
      <c r="F17" s="448" t="s">
        <v>317</v>
      </c>
      <c r="G17" s="448" t="s">
        <v>318</v>
      </c>
      <c r="H17" s="510" t="s">
        <v>319</v>
      </c>
      <c r="I17" s="381" t="s">
        <v>215</v>
      </c>
      <c r="J17" s="105"/>
      <c r="K17" s="264"/>
    </row>
    <row r="18" spans="1:11" ht="39.75" customHeight="1" x14ac:dyDescent="0.25">
      <c r="A18" s="378"/>
      <c r="B18" s="378"/>
      <c r="C18" s="378"/>
      <c r="D18" s="378"/>
      <c r="E18" s="378"/>
      <c r="F18" s="513"/>
      <c r="G18" s="449"/>
      <c r="H18" s="511"/>
      <c r="I18" s="381"/>
      <c r="J18" s="264"/>
      <c r="K18" s="264"/>
    </row>
    <row r="19" spans="1:11" ht="36" x14ac:dyDescent="0.25">
      <c r="A19" s="17" t="s">
        <v>320</v>
      </c>
      <c r="B19" s="33">
        <f>D19-C19</f>
        <v>10</v>
      </c>
      <c r="C19" s="33">
        <v>1.5</v>
      </c>
      <c r="D19" s="33">
        <f>3*92/12/2</f>
        <v>11.5</v>
      </c>
      <c r="E19" s="33">
        <v>15</v>
      </c>
      <c r="F19" s="33">
        <v>15</v>
      </c>
      <c r="G19" s="33">
        <v>39</v>
      </c>
      <c r="H19" s="33">
        <v>8</v>
      </c>
      <c r="I19" s="33">
        <f>SUM(B19:H19)</f>
        <v>100</v>
      </c>
      <c r="J19" s="264"/>
      <c r="K19" s="264"/>
    </row>
    <row r="20" spans="1:11" x14ac:dyDescent="0.25">
      <c r="A20" s="17" t="s">
        <v>321</v>
      </c>
      <c r="B20" s="33">
        <f>$D$12/100*B19</f>
        <v>43.967164167295252</v>
      </c>
      <c r="C20" s="33">
        <f t="shared" ref="C20:H20" si="0">$D$12/100*C19</f>
        <v>6.5950746250942878</v>
      </c>
      <c r="D20" s="33">
        <f t="shared" si="0"/>
        <v>50.562238792389536</v>
      </c>
      <c r="E20" s="33">
        <f t="shared" si="0"/>
        <v>65.950746250942871</v>
      </c>
      <c r="F20" s="33">
        <f t="shared" si="0"/>
        <v>65.950746250942871</v>
      </c>
      <c r="G20" s="33">
        <f t="shared" si="0"/>
        <v>171.47194025245147</v>
      </c>
      <c r="H20" s="33">
        <f t="shared" si="0"/>
        <v>35.173731333836201</v>
      </c>
      <c r="I20" s="33">
        <f>SUM(B20:H20)</f>
        <v>439.67164167295249</v>
      </c>
      <c r="J20" s="94"/>
      <c r="K20" s="94"/>
    </row>
    <row r="21" spans="1:11" x14ac:dyDescent="0.25">
      <c r="A21" s="17" t="s">
        <v>322</v>
      </c>
      <c r="B21" s="33">
        <v>10</v>
      </c>
      <c r="C21" s="33">
        <v>10</v>
      </c>
      <c r="D21" s="33">
        <v>5</v>
      </c>
      <c r="E21" s="33">
        <v>10</v>
      </c>
      <c r="F21" s="33">
        <v>10</v>
      </c>
      <c r="G21" s="33"/>
      <c r="H21" s="33">
        <v>35</v>
      </c>
      <c r="I21" s="21" t="s">
        <v>30</v>
      </c>
      <c r="J21" s="94"/>
      <c r="K21" s="94"/>
    </row>
    <row r="22" spans="1:11" x14ac:dyDescent="0.25">
      <c r="A22" s="17" t="s">
        <v>323</v>
      </c>
      <c r="B22" s="33">
        <f t="shared" ref="B22:H22" si="1">B20*B21</f>
        <v>439.67164167295255</v>
      </c>
      <c r="C22" s="33">
        <f t="shared" si="1"/>
        <v>65.950746250942871</v>
      </c>
      <c r="D22" s="33">
        <f t="shared" si="1"/>
        <v>252.81119396194768</v>
      </c>
      <c r="E22" s="33">
        <f t="shared" si="1"/>
        <v>659.50746250942871</v>
      </c>
      <c r="F22" s="33">
        <f t="shared" si="1"/>
        <v>659.50746250942871</v>
      </c>
      <c r="G22" s="33"/>
      <c r="H22" s="33">
        <f t="shared" si="1"/>
        <v>1231.080596684267</v>
      </c>
      <c r="I22" s="33">
        <f>SUM(B22:H22)</f>
        <v>3308.5291035889677</v>
      </c>
      <c r="J22" s="94"/>
      <c r="K22" s="94"/>
    </row>
    <row r="23" spans="1:11" ht="24" x14ac:dyDescent="0.25">
      <c r="A23" s="17" t="s">
        <v>324</v>
      </c>
      <c r="B23" s="33"/>
      <c r="C23" s="33"/>
      <c r="D23" s="33"/>
      <c r="E23" s="33"/>
      <c r="F23" s="33"/>
      <c r="G23" s="33">
        <f>G20</f>
        <v>171.47194025245147</v>
      </c>
      <c r="H23" s="33"/>
      <c r="I23" s="33"/>
      <c r="J23" s="94"/>
      <c r="K23" s="94"/>
    </row>
    <row r="24" spans="1:11" ht="24" x14ac:dyDescent="0.25">
      <c r="A24" s="17" t="s">
        <v>325</v>
      </c>
      <c r="B24" s="21">
        <f t="shared" ref="B24:H24" si="2">B20/$I$20*100</f>
        <v>10</v>
      </c>
      <c r="C24" s="21">
        <f t="shared" si="2"/>
        <v>1.5000000000000002</v>
      </c>
      <c r="D24" s="21">
        <f t="shared" si="2"/>
        <v>11.5</v>
      </c>
      <c r="E24" s="21">
        <f t="shared" si="2"/>
        <v>15</v>
      </c>
      <c r="F24" s="21">
        <f t="shared" si="2"/>
        <v>15</v>
      </c>
      <c r="G24" s="21">
        <f t="shared" si="2"/>
        <v>39</v>
      </c>
      <c r="H24" s="21">
        <f t="shared" si="2"/>
        <v>8</v>
      </c>
      <c r="I24" s="21">
        <f>SUM(B24:H24)</f>
        <v>100</v>
      </c>
      <c r="J24" s="94"/>
      <c r="K24" s="94"/>
    </row>
    <row r="25" spans="1:11" x14ac:dyDescent="0.25">
      <c r="A25" s="12"/>
      <c r="B25" s="12"/>
      <c r="C25" s="265"/>
      <c r="D25" s="12"/>
      <c r="E25" s="12"/>
      <c r="F25" s="12"/>
      <c r="G25" s="12"/>
      <c r="H25" s="12"/>
      <c r="I25" s="12"/>
      <c r="J25" s="94"/>
      <c r="K25" s="94"/>
    </row>
    <row r="26" spans="1:11" x14ac:dyDescent="0.25">
      <c r="A26" s="316" t="s">
        <v>326</v>
      </c>
      <c r="B26" s="316"/>
      <c r="C26" s="316"/>
      <c r="D26" s="316"/>
      <c r="E26" s="93"/>
      <c r="F26" s="94"/>
      <c r="G26" s="94"/>
      <c r="H26" s="94"/>
      <c r="I26" s="94"/>
      <c r="J26" s="94"/>
      <c r="K26" s="94"/>
    </row>
    <row r="27" spans="1:11" x14ac:dyDescent="0.25">
      <c r="A27" s="316" t="s">
        <v>327</v>
      </c>
      <c r="B27" s="316"/>
      <c r="C27" s="316"/>
      <c r="D27" s="316"/>
      <c r="E27" s="316"/>
      <c r="F27" s="316"/>
      <c r="G27" s="316"/>
      <c r="H27" s="316"/>
      <c r="I27" s="316"/>
      <c r="J27" s="316"/>
      <c r="K27" s="94"/>
    </row>
    <row r="28" spans="1:11" x14ac:dyDescent="0.25">
      <c r="A28" s="319" t="s">
        <v>328</v>
      </c>
      <c r="B28" s="319"/>
      <c r="C28" s="319"/>
      <c r="D28" s="319"/>
      <c r="E28" s="319"/>
      <c r="F28" s="319"/>
      <c r="G28" s="94"/>
      <c r="H28" s="3">
        <f>184308</f>
        <v>184308</v>
      </c>
      <c r="I28" s="3" t="s">
        <v>329</v>
      </c>
      <c r="J28" s="94"/>
      <c r="K28" s="94"/>
    </row>
    <row r="29" spans="1:11" x14ac:dyDescent="0.25">
      <c r="A29" s="316" t="s">
        <v>330</v>
      </c>
      <c r="B29" s="316"/>
      <c r="C29" s="316"/>
      <c r="D29" s="316"/>
      <c r="E29" s="316"/>
      <c r="F29" s="316"/>
      <c r="G29" s="93"/>
      <c r="H29" s="266">
        <v>51760</v>
      </c>
      <c r="I29" s="94" t="s">
        <v>103</v>
      </c>
      <c r="J29" s="94"/>
      <c r="K29" s="94"/>
    </row>
    <row r="30" spans="1:11" x14ac:dyDescent="0.25">
      <c r="A30" s="94"/>
      <c r="B30" s="94"/>
      <c r="C30" s="94"/>
      <c r="D30" s="94"/>
      <c r="E30" s="94"/>
      <c r="F30" s="94"/>
      <c r="G30" s="94"/>
      <c r="H30" s="94"/>
      <c r="I30" s="94"/>
      <c r="J30" s="94"/>
      <c r="K30" s="94"/>
    </row>
    <row r="31" spans="1:11" ht="15.75" thickBot="1" x14ac:dyDescent="0.3">
      <c r="A31" s="375" t="s">
        <v>143</v>
      </c>
      <c r="B31" s="373" t="s">
        <v>144</v>
      </c>
      <c r="C31" s="373"/>
      <c r="D31" s="373"/>
      <c r="E31" s="101"/>
      <c r="F31" s="3"/>
      <c r="G31" s="3"/>
      <c r="H31" s="94"/>
      <c r="I31" s="94"/>
      <c r="J31" s="94"/>
      <c r="K31" s="94"/>
    </row>
    <row r="32" spans="1:11" x14ac:dyDescent="0.25">
      <c r="A32" s="375"/>
      <c r="B32" s="374" t="s">
        <v>331</v>
      </c>
      <c r="C32" s="374"/>
      <c r="D32" s="374"/>
      <c r="E32" s="101"/>
      <c r="F32" s="3"/>
      <c r="G32" s="3"/>
      <c r="H32" s="94"/>
      <c r="I32" s="94"/>
      <c r="J32" s="94"/>
      <c r="K32" s="94"/>
    </row>
    <row r="33" spans="1:11" x14ac:dyDescent="0.25">
      <c r="A33" s="99"/>
      <c r="B33" s="100"/>
      <c r="C33" s="100"/>
      <c r="D33" s="100"/>
      <c r="E33" s="100"/>
      <c r="F33" s="3"/>
      <c r="G33" s="3"/>
      <c r="H33" s="94"/>
      <c r="I33" s="94"/>
      <c r="J33" s="94"/>
      <c r="K33" s="94"/>
    </row>
    <row r="34" spans="1:11" ht="15.75" thickBot="1" x14ac:dyDescent="0.3">
      <c r="A34" s="372" t="s">
        <v>146</v>
      </c>
      <c r="B34" s="372"/>
      <c r="C34" s="373" t="s">
        <v>144</v>
      </c>
      <c r="D34" s="373"/>
      <c r="E34" s="373"/>
      <c r="F34" s="373"/>
      <c r="G34" s="101"/>
      <c r="H34" s="94"/>
      <c r="I34" s="94"/>
      <c r="J34" s="94"/>
      <c r="K34" s="94"/>
    </row>
    <row r="35" spans="1:11" x14ac:dyDescent="0.25">
      <c r="A35" s="372"/>
      <c r="B35" s="372"/>
      <c r="C35" s="374" t="s">
        <v>331</v>
      </c>
      <c r="D35" s="374"/>
      <c r="E35" s="374"/>
      <c r="F35" s="374"/>
      <c r="G35" s="101"/>
      <c r="H35" s="94"/>
      <c r="I35" s="94"/>
      <c r="J35" s="94"/>
      <c r="K35" s="94"/>
    </row>
    <row r="36" spans="1:11" x14ac:dyDescent="0.25">
      <c r="A36" s="9"/>
      <c r="B36" s="9"/>
      <c r="C36" s="101"/>
      <c r="D36" s="101"/>
      <c r="E36" s="101"/>
      <c r="F36" s="101"/>
      <c r="G36" s="101"/>
      <c r="H36" s="94"/>
      <c r="I36" s="94"/>
      <c r="J36" s="94"/>
      <c r="K36" s="94"/>
    </row>
    <row r="37" spans="1:11" x14ac:dyDescent="0.25">
      <c r="A37" s="9"/>
      <c r="B37" s="9"/>
      <c r="C37" s="101"/>
      <c r="D37" s="101"/>
      <c r="E37" s="101"/>
      <c r="F37" s="320" t="s">
        <v>32</v>
      </c>
      <c r="G37" s="320"/>
      <c r="H37" s="320"/>
      <c r="I37" s="320"/>
      <c r="J37" s="94"/>
      <c r="K37" s="94"/>
    </row>
    <row r="38" spans="1:11" x14ac:dyDescent="0.25">
      <c r="A38" s="321" t="s">
        <v>148</v>
      </c>
      <c r="B38" s="321"/>
      <c r="C38" s="321"/>
      <c r="D38" s="321"/>
      <c r="E38" s="321"/>
      <c r="F38" s="321"/>
      <c r="G38" s="321"/>
      <c r="H38" s="321"/>
      <c r="I38" s="12"/>
      <c r="J38" s="94"/>
      <c r="K38" s="94"/>
    </row>
    <row r="39" spans="1:11" x14ac:dyDescent="0.25">
      <c r="A39" s="377" t="s">
        <v>332</v>
      </c>
      <c r="B39" s="515" t="s">
        <v>16</v>
      </c>
      <c r="C39" s="516"/>
      <c r="D39" s="516"/>
      <c r="E39" s="517"/>
      <c r="F39" s="515" t="s">
        <v>150</v>
      </c>
      <c r="G39" s="516"/>
      <c r="H39" s="516"/>
      <c r="I39" s="517"/>
      <c r="J39" s="102"/>
      <c r="K39" s="14"/>
    </row>
    <row r="40" spans="1:11" ht="42" x14ac:dyDescent="0.25">
      <c r="A40" s="378"/>
      <c r="B40" s="92" t="s">
        <v>333</v>
      </c>
      <c r="C40" s="92" t="s">
        <v>152</v>
      </c>
      <c r="D40" s="267" t="s">
        <v>334</v>
      </c>
      <c r="E40" s="267" t="s">
        <v>335</v>
      </c>
      <c r="F40" s="92" t="s">
        <v>336</v>
      </c>
      <c r="G40" s="92" t="s">
        <v>337</v>
      </c>
      <c r="H40" s="92" t="s">
        <v>338</v>
      </c>
      <c r="I40" s="92" t="s">
        <v>339</v>
      </c>
      <c r="J40" s="13"/>
      <c r="K40" s="14"/>
    </row>
    <row r="41" spans="1:11" x14ac:dyDescent="0.25">
      <c r="A41" s="106" t="s">
        <v>340</v>
      </c>
      <c r="B41" s="107">
        <f>H28/100*B24</f>
        <v>18430.8</v>
      </c>
      <c r="C41" s="108">
        <f>$H$29/100*B24</f>
        <v>5176</v>
      </c>
      <c r="D41" s="109">
        <f>B22</f>
        <v>439.67164167295255</v>
      </c>
      <c r="E41" s="109"/>
      <c r="F41" s="108">
        <f>B41/D41</f>
        <v>41.919465012277627</v>
      </c>
      <c r="G41" s="108"/>
      <c r="H41" s="107">
        <f>C41/D41</f>
        <v>11.772421756166255</v>
      </c>
      <c r="I41" s="107"/>
      <c r="J41" s="12"/>
      <c r="K41" s="94"/>
    </row>
    <row r="42" spans="1:11" x14ac:dyDescent="0.25">
      <c r="A42" s="106" t="s">
        <v>341</v>
      </c>
      <c r="B42" s="107">
        <f>H28/100*C24</f>
        <v>2764.6200000000003</v>
      </c>
      <c r="C42" s="108">
        <f>$H$29/100*C24</f>
        <v>776.4000000000002</v>
      </c>
      <c r="D42" s="109">
        <f>C22</f>
        <v>65.950746250942871</v>
      </c>
      <c r="E42" s="109"/>
      <c r="F42" s="108">
        <f>B42/D42</f>
        <v>41.919465012277641</v>
      </c>
      <c r="G42" s="108"/>
      <c r="H42" s="107">
        <f>C42/D42</f>
        <v>11.77242175616626</v>
      </c>
      <c r="I42" s="107"/>
      <c r="J42" s="12"/>
      <c r="K42" s="94"/>
    </row>
    <row r="43" spans="1:11" x14ac:dyDescent="0.25">
      <c r="A43" s="106" t="s">
        <v>342</v>
      </c>
      <c r="B43" s="107">
        <f>H28/100*D24</f>
        <v>21195.42</v>
      </c>
      <c r="C43" s="108">
        <f>$H$29/100*D24</f>
        <v>5952.4000000000005</v>
      </c>
      <c r="D43" s="109">
        <f>D22</f>
        <v>252.81119396194768</v>
      </c>
      <c r="E43" s="109"/>
      <c r="F43" s="108">
        <f>B43/D43/6</f>
        <v>13.973155004092542</v>
      </c>
      <c r="G43" s="108"/>
      <c r="H43" s="107">
        <f>C43/D43/6</f>
        <v>3.9241405853887521</v>
      </c>
      <c r="I43" s="107"/>
      <c r="J43" s="12"/>
      <c r="K43" s="94"/>
    </row>
    <row r="44" spans="1:11" x14ac:dyDescent="0.25">
      <c r="A44" s="106" t="s">
        <v>343</v>
      </c>
      <c r="B44" s="107">
        <f>H28/100*E24</f>
        <v>27646.199999999997</v>
      </c>
      <c r="C44" s="108">
        <f>$H$29/100*E24</f>
        <v>7764</v>
      </c>
      <c r="D44" s="109">
        <f>E22</f>
        <v>659.50746250942871</v>
      </c>
      <c r="E44" s="109"/>
      <c r="F44" s="108">
        <f>B44/D44</f>
        <v>41.919465012277627</v>
      </c>
      <c r="G44" s="108"/>
      <c r="H44" s="107">
        <f>C44/D44</f>
        <v>11.772421756166256</v>
      </c>
      <c r="I44" s="107"/>
      <c r="J44" s="12"/>
      <c r="K44" s="94"/>
    </row>
    <row r="45" spans="1:11" x14ac:dyDescent="0.25">
      <c r="A45" s="106" t="s">
        <v>344</v>
      </c>
      <c r="B45" s="107">
        <f>H28/100*F24</f>
        <v>27646.199999999997</v>
      </c>
      <c r="C45" s="108">
        <f>$H$29/100*F24</f>
        <v>7764</v>
      </c>
      <c r="D45" s="109">
        <f>F22</f>
        <v>659.50746250942871</v>
      </c>
      <c r="E45" s="109"/>
      <c r="F45" s="108">
        <f>B45/D45</f>
        <v>41.919465012277627</v>
      </c>
      <c r="G45" s="108"/>
      <c r="H45" s="107">
        <f>C45/D45</f>
        <v>11.772421756166256</v>
      </c>
      <c r="I45" s="107"/>
      <c r="J45" s="12"/>
      <c r="K45" s="94"/>
    </row>
    <row r="46" spans="1:11" x14ac:dyDescent="0.25">
      <c r="A46" s="106" t="s">
        <v>345</v>
      </c>
      <c r="B46" s="107">
        <f>H28/100*H24</f>
        <v>14744.64</v>
      </c>
      <c r="C46" s="108">
        <f>$H$29/100*H24</f>
        <v>4140.8</v>
      </c>
      <c r="D46" s="268">
        <f>H22</f>
        <v>1231.080596684267</v>
      </c>
      <c r="E46" s="268"/>
      <c r="F46" s="108">
        <f>B46/D46</f>
        <v>11.976990003507893</v>
      </c>
      <c r="G46" s="108"/>
      <c r="H46" s="107">
        <f>C46/D46</f>
        <v>3.363549073190359</v>
      </c>
      <c r="I46" s="107"/>
      <c r="J46" s="12"/>
      <c r="K46" s="94"/>
    </row>
    <row r="47" spans="1:11" x14ac:dyDescent="0.25">
      <c r="A47" s="106" t="s">
        <v>346</v>
      </c>
      <c r="B47" s="107">
        <f>H28/100*G24</f>
        <v>71880.12</v>
      </c>
      <c r="C47" s="108">
        <f>$H$29/100*G24</f>
        <v>20186.400000000001</v>
      </c>
      <c r="D47" s="268"/>
      <c r="E47" s="268">
        <f>G23</f>
        <v>171.47194025245147</v>
      </c>
      <c r="F47" s="94"/>
      <c r="G47" s="108">
        <f>B47/E47</f>
        <v>419.1946501227763</v>
      </c>
      <c r="H47" s="94"/>
      <c r="I47" s="107">
        <f>C47/E47</f>
        <v>117.72421756166256</v>
      </c>
      <c r="J47" s="12"/>
      <c r="K47" s="94"/>
    </row>
    <row r="48" spans="1:11" x14ac:dyDescent="0.25">
      <c r="A48" s="106" t="s">
        <v>31</v>
      </c>
      <c r="B48" s="107">
        <f>SUM(B41:B47)</f>
        <v>184308</v>
      </c>
      <c r="C48" s="107">
        <f>SUM(C41:C47)</f>
        <v>51760</v>
      </c>
      <c r="D48" s="107">
        <f>SUM(D41:D46)</f>
        <v>3308.5291035889677</v>
      </c>
      <c r="E48" s="107"/>
      <c r="F48" s="107"/>
      <c r="G48" s="107"/>
      <c r="H48" s="107"/>
      <c r="I48" s="107"/>
      <c r="J48" s="12"/>
      <c r="K48" s="94"/>
    </row>
    <row r="49" spans="1:11" x14ac:dyDescent="0.25">
      <c r="A49" s="25"/>
      <c r="B49" s="269"/>
      <c r="C49" s="269"/>
      <c r="D49" s="269"/>
      <c r="E49" s="269"/>
      <c r="F49" s="269"/>
      <c r="G49" s="269"/>
      <c r="H49" s="269"/>
      <c r="I49" s="269"/>
      <c r="J49" s="12"/>
      <c r="K49" s="94"/>
    </row>
    <row r="50" spans="1:11" x14ac:dyDescent="0.25">
      <c r="A50" s="518" t="s">
        <v>268</v>
      </c>
      <c r="B50" s="518"/>
      <c r="C50" s="518"/>
      <c r="D50" s="518"/>
      <c r="E50" s="518"/>
      <c r="F50" s="518"/>
      <c r="G50" s="518"/>
      <c r="H50" s="518"/>
      <c r="I50" s="518"/>
      <c r="J50" s="518"/>
      <c r="K50" s="3"/>
    </row>
    <row r="51" spans="1:1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x14ac:dyDescent="0.25">
      <c r="A52" s="94"/>
      <c r="B52" s="94"/>
      <c r="C52" s="94"/>
      <c r="D52" s="94"/>
      <c r="E52" s="94"/>
      <c r="F52" s="94"/>
      <c r="G52" s="94"/>
      <c r="H52" s="94"/>
      <c r="I52" s="94"/>
      <c r="J52" s="94"/>
      <c r="K52" s="94"/>
    </row>
    <row r="53" spans="1:11" ht="15.75" x14ac:dyDescent="0.25">
      <c r="A53" s="382" t="s">
        <v>305</v>
      </c>
      <c r="B53" s="382"/>
      <c r="C53" s="382"/>
      <c r="D53" s="31"/>
      <c r="E53" s="31"/>
      <c r="F53" s="514" t="s">
        <v>58</v>
      </c>
      <c r="G53" s="514"/>
      <c r="H53" s="514"/>
      <c r="I53" s="514"/>
      <c r="J53" s="514"/>
      <c r="K53" s="31"/>
    </row>
    <row r="54" spans="1:11" ht="15.75" x14ac:dyDescent="0.25">
      <c r="A54" s="376" t="s">
        <v>57</v>
      </c>
      <c r="B54" s="376"/>
      <c r="C54" s="376"/>
      <c r="D54" s="31"/>
      <c r="E54" s="31"/>
      <c r="F54" s="31"/>
      <c r="G54" s="31"/>
      <c r="H54" s="91"/>
      <c r="I54" s="91"/>
      <c r="J54" s="31"/>
      <c r="K54" s="31"/>
    </row>
  </sheetData>
  <mergeCells count="39">
    <mergeCell ref="A53:C53"/>
    <mergeCell ref="F53:J53"/>
    <mergeCell ref="A54:C54"/>
    <mergeCell ref="F37:I37"/>
    <mergeCell ref="A38:H38"/>
    <mergeCell ref="A39:A40"/>
    <mergeCell ref="B39:E39"/>
    <mergeCell ref="F39:I39"/>
    <mergeCell ref="A50:J50"/>
    <mergeCell ref="A34:B35"/>
    <mergeCell ref="C34:F34"/>
    <mergeCell ref="C35:F35"/>
    <mergeCell ref="F17:F18"/>
    <mergeCell ref="G17:G18"/>
    <mergeCell ref="A28:F28"/>
    <mergeCell ref="A29:F29"/>
    <mergeCell ref="A31:A32"/>
    <mergeCell ref="B31:D31"/>
    <mergeCell ref="B32:D32"/>
    <mergeCell ref="H17:H18"/>
    <mergeCell ref="I17:I18"/>
    <mergeCell ref="A26:D26"/>
    <mergeCell ref="A27:J27"/>
    <mergeCell ref="A10:J10"/>
    <mergeCell ref="A12:C12"/>
    <mergeCell ref="A13:C13"/>
    <mergeCell ref="H15:I15"/>
    <mergeCell ref="A16:K16"/>
    <mergeCell ref="A17:A18"/>
    <mergeCell ref="B17:B18"/>
    <mergeCell ref="C17:C18"/>
    <mergeCell ref="D17:D18"/>
    <mergeCell ref="E17:E18"/>
    <mergeCell ref="A8:H8"/>
    <mergeCell ref="A1:K1"/>
    <mergeCell ref="A2:K2"/>
    <mergeCell ref="A3:F3"/>
    <mergeCell ref="A4:H4"/>
    <mergeCell ref="A6:H6"/>
  </mergeCells>
  <pageMargins left="0.25" right="0.25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3"/>
  <sheetViews>
    <sheetView workbookViewId="0">
      <selection activeCell="H20" sqref="H20"/>
    </sheetView>
  </sheetViews>
  <sheetFormatPr defaultRowHeight="15" x14ac:dyDescent="0.25"/>
  <cols>
    <col min="1" max="1" width="3.5703125" customWidth="1"/>
    <col min="2" max="2" width="17.28515625" customWidth="1"/>
    <col min="3" max="3" width="14.28515625" customWidth="1"/>
    <col min="5" max="5" width="7.5703125" customWidth="1"/>
    <col min="6" max="6" width="9.5703125" customWidth="1"/>
    <col min="7" max="7" width="6.7109375" customWidth="1"/>
    <col min="8" max="8" width="13.28515625" customWidth="1"/>
    <col min="9" max="9" width="15.42578125" customWidth="1"/>
  </cols>
  <sheetData>
    <row r="1" spans="1:9" ht="15.75" x14ac:dyDescent="0.25">
      <c r="A1" s="96"/>
      <c r="B1" s="46"/>
      <c r="C1" s="46"/>
      <c r="D1" s="46"/>
      <c r="E1" s="46"/>
      <c r="F1" s="96"/>
      <c r="G1" s="346" t="s">
        <v>167</v>
      </c>
      <c r="H1" s="346"/>
      <c r="I1" s="346"/>
    </row>
    <row r="2" spans="1:9" ht="15.75" x14ac:dyDescent="0.25">
      <c r="A2" s="95"/>
      <c r="B2" s="46"/>
      <c r="C2" s="46"/>
      <c r="D2" s="46"/>
      <c r="E2" s="46"/>
      <c r="F2" s="346" t="s">
        <v>61</v>
      </c>
      <c r="G2" s="346"/>
      <c r="H2" s="346"/>
      <c r="I2" s="346"/>
    </row>
    <row r="3" spans="1:9" ht="15.75" x14ac:dyDescent="0.25">
      <c r="A3" s="95"/>
      <c r="B3" s="46"/>
      <c r="C3" s="46"/>
      <c r="D3" s="46"/>
      <c r="E3" s="46"/>
      <c r="F3" s="346" t="s">
        <v>416</v>
      </c>
      <c r="G3" s="346"/>
      <c r="H3" s="346"/>
      <c r="I3" s="346"/>
    </row>
    <row r="4" spans="1:9" ht="15.75" x14ac:dyDescent="0.25">
      <c r="A4" s="95"/>
      <c r="B4" s="46"/>
      <c r="C4" s="46"/>
      <c r="D4" s="46"/>
      <c r="E4" s="46"/>
      <c r="F4" s="346" t="s">
        <v>426</v>
      </c>
      <c r="G4" s="346"/>
      <c r="H4" s="346"/>
      <c r="I4" s="346"/>
    </row>
    <row r="5" spans="1:9" ht="15.75" x14ac:dyDescent="0.25">
      <c r="A5" s="447" t="s">
        <v>98</v>
      </c>
      <c r="B5" s="447"/>
      <c r="C5" s="447"/>
      <c r="D5" s="447"/>
      <c r="E5" s="447"/>
      <c r="F5" s="447"/>
      <c r="G5" s="447"/>
      <c r="H5" s="447"/>
      <c r="I5" s="447"/>
    </row>
    <row r="6" spans="1:9" ht="15.75" x14ac:dyDescent="0.25">
      <c r="A6" s="458" t="s">
        <v>236</v>
      </c>
      <c r="B6" s="458"/>
      <c r="C6" s="458"/>
      <c r="D6" s="458"/>
      <c r="E6" s="458"/>
      <c r="F6" s="458"/>
      <c r="G6" s="458"/>
      <c r="H6" s="458"/>
      <c r="I6" s="458"/>
    </row>
    <row r="7" spans="1:9" x14ac:dyDescent="0.25">
      <c r="A7" s="448" t="s">
        <v>14</v>
      </c>
      <c r="B7" s="450" t="s">
        <v>100</v>
      </c>
      <c r="C7" s="450"/>
      <c r="D7" s="450" t="s">
        <v>237</v>
      </c>
      <c r="E7" s="451" t="s">
        <v>238</v>
      </c>
      <c r="F7" s="452"/>
      <c r="G7" s="453"/>
      <c r="H7" s="450" t="s">
        <v>277</v>
      </c>
      <c r="I7" s="450" t="s">
        <v>347</v>
      </c>
    </row>
    <row r="8" spans="1:9" x14ac:dyDescent="0.25">
      <c r="A8" s="449"/>
      <c r="B8" s="450"/>
      <c r="C8" s="450"/>
      <c r="D8" s="450"/>
      <c r="E8" s="454"/>
      <c r="F8" s="455"/>
      <c r="G8" s="456"/>
      <c r="H8" s="450"/>
      <c r="I8" s="450"/>
    </row>
    <row r="9" spans="1:9" x14ac:dyDescent="0.25">
      <c r="A9" s="97">
        <v>1</v>
      </c>
      <c r="B9" s="463" t="s">
        <v>109</v>
      </c>
      <c r="C9" s="464"/>
      <c r="D9" s="221" t="s">
        <v>103</v>
      </c>
      <c r="E9" s="222">
        <v>130.1</v>
      </c>
      <c r="F9" s="110" t="s">
        <v>249</v>
      </c>
      <c r="G9" s="195"/>
      <c r="H9" s="223">
        <f>E9/35</f>
        <v>3.7171428571428571</v>
      </c>
      <c r="I9" s="223">
        <f>E9</f>
        <v>130.1</v>
      </c>
    </row>
    <row r="10" spans="1:9" x14ac:dyDescent="0.25">
      <c r="A10" s="97"/>
      <c r="B10" s="471"/>
      <c r="C10" s="473"/>
      <c r="D10" s="224"/>
      <c r="E10" s="471"/>
      <c r="F10" s="472"/>
      <c r="G10" s="473"/>
      <c r="H10" s="225"/>
      <c r="I10" s="223"/>
    </row>
    <row r="11" spans="1:9" x14ac:dyDescent="0.25">
      <c r="A11" s="97">
        <v>2</v>
      </c>
      <c r="B11" s="463" t="s">
        <v>110</v>
      </c>
      <c r="C11" s="464"/>
      <c r="D11" s="221" t="s">
        <v>103</v>
      </c>
      <c r="E11" s="468">
        <v>0.30199999999999999</v>
      </c>
      <c r="F11" s="469"/>
      <c r="G11" s="470"/>
      <c r="H11" s="223">
        <f>H9*E11</f>
        <v>1.1225771428571427</v>
      </c>
      <c r="I11" s="223">
        <f>I9*E11</f>
        <v>39.290199999999999</v>
      </c>
    </row>
    <row r="12" spans="1:9" x14ac:dyDescent="0.25">
      <c r="A12" s="97"/>
      <c r="B12" s="471"/>
      <c r="C12" s="473"/>
      <c r="D12" s="226"/>
      <c r="E12" s="471"/>
      <c r="F12" s="472"/>
      <c r="G12" s="473"/>
      <c r="H12" s="225"/>
      <c r="I12" s="223"/>
    </row>
    <row r="13" spans="1:9" x14ac:dyDescent="0.25">
      <c r="A13" s="97">
        <v>3</v>
      </c>
      <c r="B13" s="463" t="s">
        <v>111</v>
      </c>
      <c r="C13" s="464"/>
      <c r="D13" s="221" t="s">
        <v>103</v>
      </c>
      <c r="E13" s="471"/>
      <c r="F13" s="472"/>
      <c r="G13" s="473"/>
      <c r="H13" s="223">
        <f>'Пробег КО-829'!F45</f>
        <v>41.919465012277627</v>
      </c>
      <c r="I13" s="223">
        <f>'Пробег КО-829'!G47</f>
        <v>419.1946501227763</v>
      </c>
    </row>
    <row r="14" spans="1:9" x14ac:dyDescent="0.25">
      <c r="A14" s="97"/>
      <c r="B14" s="471"/>
      <c r="C14" s="473"/>
      <c r="D14" s="226"/>
      <c r="E14" s="471"/>
      <c r="F14" s="472"/>
      <c r="G14" s="473"/>
      <c r="H14" s="225"/>
      <c r="I14" s="223"/>
    </row>
    <row r="15" spans="1:9" x14ac:dyDescent="0.25">
      <c r="A15" s="97">
        <v>4</v>
      </c>
      <c r="B15" s="463" t="s">
        <v>113</v>
      </c>
      <c r="C15" s="464"/>
      <c r="D15" s="221" t="s">
        <v>103</v>
      </c>
      <c r="E15" s="471"/>
      <c r="F15" s="472"/>
      <c r="G15" s="472"/>
      <c r="H15" s="223">
        <f>'Пробег КО-829'!H45</f>
        <v>11.772421756166256</v>
      </c>
      <c r="I15" s="223">
        <f>'Пробег КО-829'!I47</f>
        <v>117.72421756166256</v>
      </c>
    </row>
    <row r="16" spans="1:9" x14ac:dyDescent="0.25">
      <c r="A16" s="97"/>
      <c r="B16" s="471"/>
      <c r="C16" s="473"/>
      <c r="D16" s="226"/>
      <c r="E16" s="472"/>
      <c r="F16" s="472"/>
      <c r="G16" s="472"/>
      <c r="H16" s="225"/>
      <c r="I16" s="225"/>
    </row>
    <row r="17" spans="1:9" x14ac:dyDescent="0.25">
      <c r="A17" s="97">
        <v>5</v>
      </c>
      <c r="B17" s="463" t="s">
        <v>114</v>
      </c>
      <c r="C17" s="464"/>
      <c r="D17" s="224" t="s">
        <v>303</v>
      </c>
      <c r="E17" s="227"/>
      <c r="F17" s="228"/>
      <c r="G17" s="228"/>
      <c r="H17" s="229">
        <v>0.34</v>
      </c>
      <c r="I17" s="229">
        <v>11.6</v>
      </c>
    </row>
    <row r="18" spans="1:9" x14ac:dyDescent="0.25">
      <c r="A18" s="97"/>
      <c r="B18" s="230"/>
      <c r="C18" s="231" t="s">
        <v>404</v>
      </c>
      <c r="D18" s="221" t="s">
        <v>103</v>
      </c>
      <c r="E18" s="232">
        <v>31.61</v>
      </c>
      <c r="F18" s="228" t="s">
        <v>103</v>
      </c>
      <c r="G18" s="232"/>
      <c r="H18" s="223">
        <f>H17*$E$18</f>
        <v>10.747400000000001</v>
      </c>
      <c r="I18" s="223">
        <f>I17*$E$18</f>
        <v>366.67599999999999</v>
      </c>
    </row>
    <row r="19" spans="1:9" x14ac:dyDescent="0.25">
      <c r="A19" s="97">
        <v>6</v>
      </c>
      <c r="B19" s="463" t="s">
        <v>117</v>
      </c>
      <c r="C19" s="464"/>
      <c r="D19" s="221"/>
      <c r="E19" s="472"/>
      <c r="F19" s="472"/>
      <c r="G19" s="472"/>
      <c r="H19" s="225"/>
      <c r="I19" s="225"/>
    </row>
    <row r="20" spans="1:9" ht="25.5" x14ac:dyDescent="0.25">
      <c r="A20" s="97"/>
      <c r="B20" s="230" t="s">
        <v>118</v>
      </c>
      <c r="C20" s="224"/>
      <c r="D20" s="221" t="s">
        <v>103</v>
      </c>
      <c r="E20" s="233">
        <v>2.8000000000000001E-2</v>
      </c>
      <c r="F20" s="234" t="s">
        <v>251</v>
      </c>
      <c r="G20" s="232">
        <v>142.72999999999999</v>
      </c>
      <c r="H20" s="225">
        <f>E20*$H$17*G20</f>
        <v>1.3587895999999999</v>
      </c>
      <c r="I20" s="225">
        <f>E20*$I$17*G20</f>
        <v>46.358703999999996</v>
      </c>
    </row>
    <row r="21" spans="1:9" ht="25.5" x14ac:dyDescent="0.25">
      <c r="A21" s="97"/>
      <c r="B21" s="230" t="s">
        <v>120</v>
      </c>
      <c r="C21" s="224"/>
      <c r="D21" s="221" t="s">
        <v>103</v>
      </c>
      <c r="E21" s="233">
        <v>4.0000000000000001E-3</v>
      </c>
      <c r="F21" s="235" t="s">
        <v>121</v>
      </c>
      <c r="G21" s="232">
        <v>88.65</v>
      </c>
      <c r="H21" s="225">
        <f>E21*$H$17*G21</f>
        <v>0.12056400000000002</v>
      </c>
      <c r="I21" s="225">
        <f>E21*$I$17*G21</f>
        <v>4.1133600000000001</v>
      </c>
    </row>
    <row r="22" spans="1:9" ht="25.5" x14ac:dyDescent="0.25">
      <c r="A22" s="97"/>
      <c r="B22" s="230" t="s">
        <v>122</v>
      </c>
      <c r="C22" s="224"/>
      <c r="D22" s="221" t="s">
        <v>103</v>
      </c>
      <c r="E22" s="233">
        <v>1.4999999999999999E-2</v>
      </c>
      <c r="F22" s="235" t="s">
        <v>121</v>
      </c>
      <c r="G22" s="232">
        <v>56.75</v>
      </c>
      <c r="H22" s="225">
        <f>E22*$H$17*G22</f>
        <v>0.28942500000000004</v>
      </c>
      <c r="I22" s="225">
        <f>E22*$I$17*G22</f>
        <v>9.8744999999999994</v>
      </c>
    </row>
    <row r="23" spans="1:9" ht="25.5" x14ac:dyDescent="0.25">
      <c r="A23" s="97"/>
      <c r="B23" s="230" t="s">
        <v>123</v>
      </c>
      <c r="C23" s="224"/>
      <c r="D23" s="221" t="s">
        <v>103</v>
      </c>
      <c r="E23" s="233">
        <v>3.5000000000000003E-2</v>
      </c>
      <c r="F23" s="235" t="s">
        <v>121</v>
      </c>
      <c r="G23" s="232">
        <v>100.17</v>
      </c>
      <c r="H23" s="225">
        <f>E23*$H$17*G23</f>
        <v>1.1920230000000003</v>
      </c>
      <c r="I23" s="225">
        <f>E23*$I$17*G23</f>
        <v>40.669020000000003</v>
      </c>
    </row>
    <row r="24" spans="1:9" x14ac:dyDescent="0.25">
      <c r="A24" s="97"/>
      <c r="B24" s="466" t="s">
        <v>124</v>
      </c>
      <c r="C24" s="467"/>
      <c r="D24" s="221"/>
      <c r="E24" s="497"/>
      <c r="F24" s="495"/>
      <c r="G24" s="496"/>
      <c r="H24" s="223">
        <f>SUM(H20:H23)</f>
        <v>2.9608016000000004</v>
      </c>
      <c r="I24" s="223">
        <f>SUM(I20:I23)</f>
        <v>101.01558399999999</v>
      </c>
    </row>
    <row r="25" spans="1:9" x14ac:dyDescent="0.25">
      <c r="A25" s="97"/>
      <c r="B25" s="497"/>
      <c r="C25" s="496"/>
      <c r="D25" s="226"/>
      <c r="E25" s="495"/>
      <c r="F25" s="495"/>
      <c r="G25" s="495"/>
      <c r="H25" s="225"/>
      <c r="I25" s="225"/>
    </row>
    <row r="26" spans="1:9" x14ac:dyDescent="0.25">
      <c r="A26" s="97"/>
      <c r="B26" s="239"/>
      <c r="C26" s="240"/>
      <c r="D26" s="70"/>
      <c r="E26" s="243"/>
      <c r="F26" s="244"/>
      <c r="G26" s="242"/>
      <c r="H26" s="238"/>
      <c r="I26" s="223"/>
    </row>
    <row r="27" spans="1:9" x14ac:dyDescent="0.25">
      <c r="A27" s="97">
        <v>7</v>
      </c>
      <c r="B27" s="463" t="s">
        <v>348</v>
      </c>
      <c r="C27" s="464"/>
      <c r="D27" s="221" t="s">
        <v>349</v>
      </c>
      <c r="E27" s="243" t="s">
        <v>350</v>
      </c>
      <c r="F27" s="244" t="s">
        <v>405</v>
      </c>
      <c r="G27" s="242"/>
      <c r="H27" s="241"/>
      <c r="I27" s="223">
        <f>6*27.03</f>
        <v>162.18</v>
      </c>
    </row>
    <row r="28" spans="1:9" x14ac:dyDescent="0.25">
      <c r="A28" s="97"/>
      <c r="B28" s="239"/>
      <c r="C28" s="240"/>
      <c r="D28" s="70"/>
      <c r="E28" s="243"/>
      <c r="F28" s="244"/>
      <c r="G28" s="242"/>
      <c r="H28" s="238"/>
      <c r="I28" s="223"/>
    </row>
    <row r="29" spans="1:9" x14ac:dyDescent="0.25">
      <c r="A29" s="97">
        <v>9</v>
      </c>
      <c r="B29" s="463" t="s">
        <v>125</v>
      </c>
      <c r="C29" s="464"/>
      <c r="D29" s="226"/>
      <c r="E29" s="468">
        <v>1.1677</v>
      </c>
      <c r="F29" s="469"/>
      <c r="G29" s="470"/>
      <c r="H29" s="223">
        <f>H9*E29</f>
        <v>4.3405077142857138</v>
      </c>
      <c r="I29" s="223">
        <f>I9*$E$29</f>
        <v>151.91776999999999</v>
      </c>
    </row>
    <row r="30" spans="1:9" x14ac:dyDescent="0.25">
      <c r="A30" s="97"/>
      <c r="B30" s="239"/>
      <c r="C30" s="240"/>
      <c r="D30" s="226"/>
      <c r="E30" s="245"/>
      <c r="F30" s="234"/>
      <c r="G30" s="246"/>
      <c r="H30" s="223"/>
      <c r="I30" s="223"/>
    </row>
    <row r="31" spans="1:9" x14ac:dyDescent="0.25">
      <c r="A31" s="97">
        <v>10</v>
      </c>
      <c r="B31" s="463" t="s">
        <v>126</v>
      </c>
      <c r="C31" s="464"/>
      <c r="D31" s="247"/>
      <c r="E31" s="354"/>
      <c r="F31" s="354"/>
      <c r="G31" s="354"/>
      <c r="H31" s="223">
        <f>H9+H11+H13+H15+H18+H24+H29+0.01</f>
        <v>76.590316082729586</v>
      </c>
      <c r="I31" s="223">
        <f>I9+I11+I13+I15+I18+I24+I29+0.01+I27</f>
        <v>1488.1084216844388</v>
      </c>
    </row>
    <row r="32" spans="1:9" x14ac:dyDescent="0.25">
      <c r="A32" s="97"/>
      <c r="B32" s="239"/>
      <c r="C32" s="240"/>
      <c r="D32" s="247"/>
      <c r="E32" s="248"/>
      <c r="F32" s="249"/>
      <c r="G32" s="250"/>
      <c r="H32" s="223"/>
      <c r="I32" s="223"/>
    </row>
    <row r="33" spans="1:9" x14ac:dyDescent="0.25">
      <c r="A33" s="97">
        <v>11</v>
      </c>
      <c r="B33" s="463" t="s">
        <v>127</v>
      </c>
      <c r="C33" s="464"/>
      <c r="D33" s="247"/>
      <c r="E33" s="471"/>
      <c r="F33" s="472"/>
      <c r="G33" s="473"/>
      <c r="H33" s="223"/>
      <c r="I33" s="223"/>
    </row>
    <row r="34" spans="1:9" x14ac:dyDescent="0.25">
      <c r="A34" s="224"/>
      <c r="B34" s="466" t="s">
        <v>128</v>
      </c>
      <c r="C34" s="467"/>
      <c r="D34" s="226" t="s">
        <v>103</v>
      </c>
      <c r="E34" s="499">
        <v>0.1</v>
      </c>
      <c r="F34" s="500"/>
      <c r="G34" s="501"/>
      <c r="H34" s="225">
        <f>H31*E34</f>
        <v>7.6590316082729588</v>
      </c>
      <c r="I34" s="225">
        <f>I31*$E$34</f>
        <v>148.81084216844388</v>
      </c>
    </row>
    <row r="35" spans="1:9" x14ac:dyDescent="0.25">
      <c r="A35" s="224"/>
      <c r="B35" s="466" t="s">
        <v>129</v>
      </c>
      <c r="C35" s="467"/>
      <c r="D35" s="226" t="s">
        <v>103</v>
      </c>
      <c r="E35" s="499">
        <v>0.15</v>
      </c>
      <c r="F35" s="500"/>
      <c r="G35" s="501"/>
      <c r="H35" s="225">
        <f>H31*E35</f>
        <v>11.488547412409437</v>
      </c>
      <c r="I35" s="225">
        <f>I31*$E$35</f>
        <v>223.21626325266581</v>
      </c>
    </row>
    <row r="36" spans="1:9" x14ac:dyDescent="0.25">
      <c r="A36" s="224"/>
      <c r="B36" s="463" t="s">
        <v>351</v>
      </c>
      <c r="C36" s="464"/>
      <c r="D36" s="226" t="s">
        <v>103</v>
      </c>
      <c r="E36" s="497"/>
      <c r="F36" s="495"/>
      <c r="G36" s="496"/>
      <c r="H36" s="223">
        <f>H31+H34</f>
        <v>84.249347691002541</v>
      </c>
      <c r="I36" s="223">
        <f>I31+I34</f>
        <v>1636.9192638528828</v>
      </c>
    </row>
    <row r="37" spans="1:9" x14ac:dyDescent="0.25">
      <c r="A37" s="224"/>
      <c r="B37" s="463" t="s">
        <v>352</v>
      </c>
      <c r="C37" s="464"/>
      <c r="D37" s="226" t="s">
        <v>103</v>
      </c>
      <c r="E37" s="497"/>
      <c r="F37" s="495"/>
      <c r="G37" s="496"/>
      <c r="H37" s="223">
        <f>H31+H35</f>
        <v>88.078863495139018</v>
      </c>
      <c r="I37" s="223">
        <f>I31+I35</f>
        <v>1711.3246849371046</v>
      </c>
    </row>
    <row r="38" spans="1:9" x14ac:dyDescent="0.25">
      <c r="A38" s="111"/>
      <c r="B38" s="112"/>
      <c r="C38" s="112"/>
      <c r="D38" s="263"/>
      <c r="E38" s="111"/>
      <c r="F38" s="111"/>
      <c r="G38" s="111"/>
      <c r="H38" s="252"/>
      <c r="I38" s="252"/>
    </row>
    <row r="39" spans="1:9" ht="57.75" customHeight="1" x14ac:dyDescent="0.25">
      <c r="A39" s="489" t="s">
        <v>353</v>
      </c>
      <c r="B39" s="489"/>
      <c r="C39" s="489"/>
      <c r="D39" s="489"/>
      <c r="E39" s="489"/>
      <c r="F39" s="489"/>
      <c r="G39" s="489"/>
      <c r="H39" s="489"/>
      <c r="I39" s="489"/>
    </row>
    <row r="40" spans="1:9" ht="15.75" x14ac:dyDescent="0.25">
      <c r="A40" s="111"/>
      <c r="B40" s="46"/>
      <c r="C40" s="46"/>
      <c r="D40" s="46"/>
      <c r="E40" s="46"/>
      <c r="F40" s="111"/>
      <c r="G40" s="111"/>
      <c r="H40" s="255"/>
      <c r="I40" s="255"/>
    </row>
    <row r="41" spans="1:9" ht="15.75" x14ac:dyDescent="0.25">
      <c r="A41" s="111"/>
      <c r="B41" s="46"/>
      <c r="C41" s="46"/>
      <c r="D41" s="46"/>
      <c r="E41" s="46"/>
      <c r="F41" s="111"/>
      <c r="G41" s="111"/>
      <c r="H41" s="255"/>
      <c r="I41" s="255"/>
    </row>
    <row r="42" spans="1:9" ht="15.75" x14ac:dyDescent="0.25">
      <c r="A42" s="45"/>
      <c r="B42" s="46"/>
      <c r="C42" s="382" t="s">
        <v>56</v>
      </c>
      <c r="D42" s="382"/>
      <c r="E42" s="90"/>
      <c r="F42" s="90"/>
      <c r="G42" s="45"/>
      <c r="H42" s="509" t="s">
        <v>58</v>
      </c>
      <c r="I42" s="509"/>
    </row>
    <row r="43" spans="1:9" ht="15.75" x14ac:dyDescent="0.25">
      <c r="A43" s="31"/>
      <c r="B43" s="31"/>
      <c r="C43" s="376" t="s">
        <v>57</v>
      </c>
      <c r="D43" s="376"/>
      <c r="E43" s="262"/>
      <c r="F43" s="262"/>
      <c r="G43" s="90"/>
      <c r="H43" s="31"/>
      <c r="I43" s="31"/>
    </row>
  </sheetData>
  <mergeCells count="53">
    <mergeCell ref="C43:D43"/>
    <mergeCell ref="H42:I42"/>
    <mergeCell ref="B36:C36"/>
    <mergeCell ref="E36:G36"/>
    <mergeCell ref="B37:C37"/>
    <mergeCell ref="E37:G37"/>
    <mergeCell ref="A39:I39"/>
    <mergeCell ref="C42:D42"/>
    <mergeCell ref="B33:C33"/>
    <mergeCell ref="E33:G33"/>
    <mergeCell ref="B34:C34"/>
    <mergeCell ref="E34:G34"/>
    <mergeCell ref="B35:C35"/>
    <mergeCell ref="E35:G35"/>
    <mergeCell ref="B31:C31"/>
    <mergeCell ref="E31:G31"/>
    <mergeCell ref="B16:C16"/>
    <mergeCell ref="E16:G16"/>
    <mergeCell ref="B17:C17"/>
    <mergeCell ref="B19:C19"/>
    <mergeCell ref="E19:G19"/>
    <mergeCell ref="B24:C24"/>
    <mergeCell ref="E24:G24"/>
    <mergeCell ref="B25:C25"/>
    <mergeCell ref="E25:G25"/>
    <mergeCell ref="B27:C27"/>
    <mergeCell ref="B29:C29"/>
    <mergeCell ref="E29:G29"/>
    <mergeCell ref="B13:C13"/>
    <mergeCell ref="E13:G13"/>
    <mergeCell ref="B14:C14"/>
    <mergeCell ref="E14:G14"/>
    <mergeCell ref="B15:C15"/>
    <mergeCell ref="E15:G15"/>
    <mergeCell ref="B12:C12"/>
    <mergeCell ref="E12:G12"/>
    <mergeCell ref="A7:A8"/>
    <mergeCell ref="B7:C8"/>
    <mergeCell ref="D7:D8"/>
    <mergeCell ref="E7:G8"/>
    <mergeCell ref="B9:C9"/>
    <mergeCell ref="B10:C10"/>
    <mergeCell ref="E10:G10"/>
    <mergeCell ref="B11:C11"/>
    <mergeCell ref="E11:G11"/>
    <mergeCell ref="H7:H8"/>
    <mergeCell ref="I7:I8"/>
    <mergeCell ref="G1:I1"/>
    <mergeCell ref="F2:I2"/>
    <mergeCell ref="F3:I3"/>
    <mergeCell ref="F4:I4"/>
    <mergeCell ref="A5:I5"/>
    <mergeCell ref="A6:I6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H50"/>
  <sheetViews>
    <sheetView workbookViewId="0">
      <selection activeCell="B8" sqref="B8"/>
    </sheetView>
  </sheetViews>
  <sheetFormatPr defaultRowHeight="15" x14ac:dyDescent="0.25"/>
  <cols>
    <col min="1" max="1" width="24.85546875" customWidth="1"/>
    <col min="2" max="2" width="8.42578125" customWidth="1"/>
    <col min="3" max="3" width="7.7109375" customWidth="1"/>
    <col min="4" max="4" width="13" customWidth="1"/>
    <col min="5" max="5" width="8.42578125" customWidth="1"/>
    <col min="6" max="6" width="12.140625" customWidth="1"/>
    <col min="7" max="7" width="7.28515625" customWidth="1"/>
    <col min="8" max="8" width="8.28515625" customWidth="1"/>
  </cols>
  <sheetData>
    <row r="1" spans="1:8" x14ac:dyDescent="0.25">
      <c r="A1" s="317" t="s">
        <v>308</v>
      </c>
      <c r="B1" s="317"/>
      <c r="C1" s="317"/>
      <c r="D1" s="317"/>
      <c r="E1" s="317"/>
      <c r="F1" s="317"/>
      <c r="G1" s="317"/>
      <c r="H1" s="317"/>
    </row>
    <row r="2" spans="1:8" x14ac:dyDescent="0.25">
      <c r="A2" s="317" t="s">
        <v>309</v>
      </c>
      <c r="B2" s="317"/>
      <c r="C2" s="317"/>
      <c r="D2" s="317"/>
      <c r="E2" s="317"/>
      <c r="F2" s="317"/>
      <c r="G2" s="317"/>
      <c r="H2" s="317"/>
    </row>
    <row r="3" spans="1:8" ht="30" customHeight="1" x14ac:dyDescent="0.25">
      <c r="A3" s="316" t="s">
        <v>310</v>
      </c>
      <c r="B3" s="316"/>
      <c r="C3" s="316"/>
      <c r="D3" s="316"/>
      <c r="E3" s="316"/>
      <c r="F3" s="3"/>
      <c r="G3" s="3"/>
      <c r="H3" s="3"/>
    </row>
    <row r="4" spans="1:8" x14ac:dyDescent="0.25">
      <c r="A4" s="316" t="s">
        <v>354</v>
      </c>
      <c r="B4" s="316"/>
      <c r="C4" s="316"/>
      <c r="D4" s="316"/>
      <c r="E4" s="316"/>
      <c r="F4" s="316"/>
      <c r="G4" s="94"/>
      <c r="H4" s="94"/>
    </row>
    <row r="5" spans="1:8" x14ac:dyDescent="0.25">
      <c r="A5" s="316" t="s">
        <v>355</v>
      </c>
      <c r="B5" s="316"/>
      <c r="C5" s="316"/>
      <c r="D5" s="316"/>
      <c r="E5" s="316"/>
      <c r="F5" s="316"/>
      <c r="G5" s="94"/>
      <c r="H5" s="94"/>
    </row>
    <row r="6" spans="1:8" x14ac:dyDescent="0.25">
      <c r="A6" s="93"/>
      <c r="B6" s="93"/>
      <c r="C6" s="93"/>
      <c r="D6" s="93"/>
      <c r="E6" s="93"/>
      <c r="F6" s="93"/>
      <c r="G6" s="94"/>
      <c r="H6" s="94"/>
    </row>
    <row r="7" spans="1:8" x14ac:dyDescent="0.25">
      <c r="A7" s="316" t="s">
        <v>135</v>
      </c>
      <c r="B7" s="316"/>
      <c r="C7" s="316"/>
      <c r="D7" s="316"/>
      <c r="E7" s="316"/>
      <c r="F7" s="316"/>
      <c r="G7" s="3"/>
      <c r="H7" s="94"/>
    </row>
    <row r="8" spans="1:8" x14ac:dyDescent="0.25">
      <c r="A8" s="94"/>
      <c r="B8" s="5">
        <f>'План. расчет времени'!F31</f>
        <v>499.67164167295249</v>
      </c>
      <c r="C8" s="3" t="s">
        <v>136</v>
      </c>
      <c r="D8" s="3"/>
      <c r="E8" s="3"/>
      <c r="F8" s="3"/>
      <c r="G8" s="3"/>
      <c r="H8" s="94"/>
    </row>
    <row r="9" spans="1:8" x14ac:dyDescent="0.25">
      <c r="A9" s="316" t="s">
        <v>137</v>
      </c>
      <c r="B9" s="316"/>
      <c r="C9" s="316"/>
      <c r="D9" s="316"/>
      <c r="E9" s="316"/>
      <c r="F9" s="316"/>
      <c r="G9" s="93"/>
      <c r="H9" s="94"/>
    </row>
    <row r="10" spans="1:8" x14ac:dyDescent="0.25">
      <c r="A10" s="3"/>
      <c r="B10" s="3">
        <v>40</v>
      </c>
      <c r="C10" s="3" t="s">
        <v>136</v>
      </c>
      <c r="D10" s="3"/>
      <c r="E10" s="3"/>
      <c r="F10" s="3"/>
      <c r="G10" s="93"/>
      <c r="H10" s="94"/>
    </row>
    <row r="11" spans="1:8" x14ac:dyDescent="0.25">
      <c r="A11" s="316" t="s">
        <v>173</v>
      </c>
      <c r="B11" s="316"/>
      <c r="C11" s="316"/>
      <c r="D11" s="316"/>
      <c r="E11" s="316"/>
      <c r="F11" s="316"/>
      <c r="G11" s="316"/>
      <c r="H11" s="94"/>
    </row>
    <row r="12" spans="1:8" x14ac:dyDescent="0.25">
      <c r="A12" s="3"/>
      <c r="B12" s="3">
        <v>20</v>
      </c>
      <c r="C12" s="3" t="s">
        <v>136</v>
      </c>
      <c r="D12" s="94"/>
      <c r="E12" s="94"/>
      <c r="F12" s="3"/>
      <c r="G12" s="3"/>
      <c r="H12" s="94"/>
    </row>
    <row r="13" spans="1:8" x14ac:dyDescent="0.25">
      <c r="A13" s="404" t="s">
        <v>141</v>
      </c>
      <c r="B13" s="404"/>
      <c r="C13" s="404"/>
      <c r="D13" s="158">
        <f>B8-B10-B12</f>
        <v>439.67164167295249</v>
      </c>
      <c r="E13" s="159" t="s">
        <v>136</v>
      </c>
      <c r="F13" s="159"/>
      <c r="G13" s="9"/>
      <c r="H13" s="94"/>
    </row>
    <row r="14" spans="1:8" x14ac:dyDescent="0.25">
      <c r="A14" s="12"/>
      <c r="B14" s="12"/>
      <c r="C14" s="12"/>
      <c r="D14" s="12"/>
      <c r="E14" s="12"/>
      <c r="F14" s="12"/>
      <c r="G14" s="320" t="s">
        <v>13</v>
      </c>
      <c r="H14" s="320"/>
    </row>
    <row r="15" spans="1:8" x14ac:dyDescent="0.25">
      <c r="A15" s="321" t="s">
        <v>356</v>
      </c>
      <c r="B15" s="321"/>
      <c r="C15" s="321"/>
      <c r="D15" s="321"/>
      <c r="E15" s="321"/>
      <c r="F15" s="321"/>
      <c r="G15" s="321"/>
      <c r="H15" s="321"/>
    </row>
    <row r="16" spans="1:8" x14ac:dyDescent="0.25">
      <c r="A16" s="377" t="s">
        <v>16</v>
      </c>
      <c r="B16" s="377" t="s">
        <v>313</v>
      </c>
      <c r="C16" s="377" t="s">
        <v>314</v>
      </c>
      <c r="D16" s="377" t="s">
        <v>315</v>
      </c>
      <c r="E16" s="377" t="s">
        <v>316</v>
      </c>
      <c r="F16" s="448" t="s">
        <v>317</v>
      </c>
      <c r="G16" s="510" t="s">
        <v>319</v>
      </c>
      <c r="H16" s="377" t="s">
        <v>215</v>
      </c>
    </row>
    <row r="17" spans="1:8" x14ac:dyDescent="0.25">
      <c r="A17" s="378"/>
      <c r="B17" s="378"/>
      <c r="C17" s="378"/>
      <c r="D17" s="378"/>
      <c r="E17" s="378"/>
      <c r="F17" s="513"/>
      <c r="G17" s="511"/>
      <c r="H17" s="378"/>
    </row>
    <row r="18" spans="1:8" ht="36" x14ac:dyDescent="0.25">
      <c r="A18" s="17" t="s">
        <v>320</v>
      </c>
      <c r="B18" s="33">
        <f>D18-C18</f>
        <v>10</v>
      </c>
      <c r="C18" s="33">
        <v>1.5</v>
      </c>
      <c r="D18" s="33">
        <f>3*92/12/2</f>
        <v>11.5</v>
      </c>
      <c r="E18" s="33">
        <f>4.5*92/12</f>
        <v>34.5</v>
      </c>
      <c r="F18" s="33">
        <f>4.5*92/12</f>
        <v>34.5</v>
      </c>
      <c r="G18" s="33">
        <v>8</v>
      </c>
      <c r="H18" s="33">
        <f>SUM(B18:G18)</f>
        <v>100</v>
      </c>
    </row>
    <row r="19" spans="1:8" x14ac:dyDescent="0.25">
      <c r="A19" s="17" t="s">
        <v>321</v>
      </c>
      <c r="B19" s="33">
        <f t="shared" ref="B19:G19" si="0">$D$13/100*B18</f>
        <v>43.967164167295252</v>
      </c>
      <c r="C19" s="33">
        <f t="shared" si="0"/>
        <v>6.5950746250942878</v>
      </c>
      <c r="D19" s="33">
        <f t="shared" si="0"/>
        <v>50.562238792389536</v>
      </c>
      <c r="E19" s="33">
        <f t="shared" si="0"/>
        <v>151.68671637716861</v>
      </c>
      <c r="F19" s="33">
        <f t="shared" si="0"/>
        <v>151.68671637716861</v>
      </c>
      <c r="G19" s="33">
        <f t="shared" si="0"/>
        <v>35.173731333836201</v>
      </c>
      <c r="H19" s="33">
        <f>SUM(B19:G19)</f>
        <v>439.67164167295249</v>
      </c>
    </row>
    <row r="20" spans="1:8" x14ac:dyDescent="0.25">
      <c r="A20" s="17" t="s">
        <v>322</v>
      </c>
      <c r="B20" s="33">
        <v>10</v>
      </c>
      <c r="C20" s="33">
        <v>10</v>
      </c>
      <c r="D20" s="33">
        <v>5</v>
      </c>
      <c r="E20" s="33">
        <v>10</v>
      </c>
      <c r="F20" s="33">
        <v>10</v>
      </c>
      <c r="G20" s="33">
        <v>35</v>
      </c>
      <c r="H20" s="21" t="s">
        <v>30</v>
      </c>
    </row>
    <row r="21" spans="1:8" x14ac:dyDescent="0.25">
      <c r="A21" s="17" t="s">
        <v>323</v>
      </c>
      <c r="B21" s="33">
        <f>B19*B20</f>
        <v>439.67164167295255</v>
      </c>
      <c r="C21" s="33">
        <f t="shared" ref="C21:G21" si="1">C19*C20</f>
        <v>65.950746250942871</v>
      </c>
      <c r="D21" s="33">
        <f t="shared" si="1"/>
        <v>252.81119396194768</v>
      </c>
      <c r="E21" s="33">
        <f>E19*E20</f>
        <v>1516.8671637716861</v>
      </c>
      <c r="F21" s="33">
        <f t="shared" si="1"/>
        <v>1516.8671637716861</v>
      </c>
      <c r="G21" s="33">
        <f t="shared" si="1"/>
        <v>1231.080596684267</v>
      </c>
      <c r="H21" s="33">
        <f>SUM(B21:G21)</f>
        <v>5023.2485061134821</v>
      </c>
    </row>
    <row r="22" spans="1:8" ht="24" x14ac:dyDescent="0.25">
      <c r="A22" s="17" t="s">
        <v>357</v>
      </c>
      <c r="B22" s="21">
        <f>B21/$H$21*100</f>
        <v>8.7527352297593009</v>
      </c>
      <c r="C22" s="21">
        <f t="shared" ref="C22:H22" si="2">C21/$H$21*100</f>
        <v>1.3129102844638949</v>
      </c>
      <c r="D22" s="21">
        <f t="shared" si="2"/>
        <v>5.0328227571115978</v>
      </c>
      <c r="E22" s="21">
        <f t="shared" si="2"/>
        <v>30.196936542669583</v>
      </c>
      <c r="F22" s="21">
        <f t="shared" si="2"/>
        <v>30.196936542669583</v>
      </c>
      <c r="G22" s="21">
        <f t="shared" si="2"/>
        <v>24.507658643326042</v>
      </c>
      <c r="H22" s="21">
        <f t="shared" si="2"/>
        <v>100</v>
      </c>
    </row>
    <row r="23" spans="1:8" x14ac:dyDescent="0.25">
      <c r="A23" s="12"/>
      <c r="B23" s="12"/>
      <c r="C23" s="265"/>
      <c r="D23" s="12"/>
      <c r="E23" s="12"/>
      <c r="F23" s="12"/>
      <c r="G23" s="94"/>
      <c r="H23" s="94"/>
    </row>
    <row r="24" spans="1:8" x14ac:dyDescent="0.25">
      <c r="A24" s="316" t="s">
        <v>326</v>
      </c>
      <c r="B24" s="316"/>
      <c r="C24" s="316"/>
      <c r="D24" s="316"/>
      <c r="E24" s="94"/>
      <c r="F24" s="94"/>
      <c r="G24" s="94"/>
      <c r="H24" s="94"/>
    </row>
    <row r="25" spans="1:8" x14ac:dyDescent="0.25">
      <c r="A25" s="316" t="s">
        <v>327</v>
      </c>
      <c r="B25" s="316"/>
      <c r="C25" s="316"/>
      <c r="D25" s="316"/>
      <c r="E25" s="316"/>
      <c r="F25" s="316"/>
      <c r="G25" s="316"/>
      <c r="H25" s="94"/>
    </row>
    <row r="26" spans="1:8" ht="25.5" x14ac:dyDescent="0.25">
      <c r="A26" s="319" t="s">
        <v>328</v>
      </c>
      <c r="B26" s="319"/>
      <c r="C26" s="319"/>
      <c r="D26" s="319"/>
      <c r="E26" s="319"/>
      <c r="F26" s="3">
        <f>184308</f>
        <v>184308</v>
      </c>
      <c r="G26" s="3" t="s">
        <v>329</v>
      </c>
      <c r="H26" s="94"/>
    </row>
    <row r="27" spans="1:8" x14ac:dyDescent="0.25">
      <c r="A27" s="316" t="s">
        <v>330</v>
      </c>
      <c r="B27" s="316"/>
      <c r="C27" s="316"/>
      <c r="D27" s="316"/>
      <c r="E27" s="316"/>
      <c r="F27" s="266">
        <v>51760</v>
      </c>
      <c r="G27" s="94" t="s">
        <v>103</v>
      </c>
      <c r="H27" s="94"/>
    </row>
    <row r="28" spans="1:8" x14ac:dyDescent="0.25">
      <c r="A28" s="94"/>
      <c r="B28" s="94"/>
      <c r="C28" s="94"/>
      <c r="D28" s="94"/>
      <c r="E28" s="94"/>
      <c r="F28" s="94"/>
      <c r="G28" s="94"/>
      <c r="H28" s="94"/>
    </row>
    <row r="29" spans="1:8" ht="15.75" thickBot="1" x14ac:dyDescent="0.3">
      <c r="A29" s="375" t="s">
        <v>143</v>
      </c>
      <c r="B29" s="373" t="s">
        <v>144</v>
      </c>
      <c r="C29" s="373"/>
      <c r="D29" s="373"/>
      <c r="E29" s="3"/>
      <c r="F29" s="94"/>
      <c r="G29" s="94"/>
      <c r="H29" s="94"/>
    </row>
    <row r="30" spans="1:8" x14ac:dyDescent="0.25">
      <c r="A30" s="375"/>
      <c r="B30" s="374" t="s">
        <v>331</v>
      </c>
      <c r="C30" s="374"/>
      <c r="D30" s="374"/>
      <c r="E30" s="3"/>
      <c r="F30" s="94"/>
      <c r="G30" s="94"/>
      <c r="H30" s="94"/>
    </row>
    <row r="31" spans="1:8" x14ac:dyDescent="0.25">
      <c r="A31" s="99"/>
      <c r="B31" s="100"/>
      <c r="C31" s="100"/>
      <c r="D31" s="100"/>
      <c r="E31" s="3"/>
      <c r="F31" s="94"/>
      <c r="G31" s="94"/>
      <c r="H31" s="94"/>
    </row>
    <row r="32" spans="1:8" ht="15.75" thickBot="1" x14ac:dyDescent="0.3">
      <c r="A32" s="372" t="s">
        <v>146</v>
      </c>
      <c r="B32" s="372"/>
      <c r="C32" s="373" t="s">
        <v>144</v>
      </c>
      <c r="D32" s="373"/>
      <c r="E32" s="373"/>
      <c r="F32" s="94"/>
      <c r="G32" s="94"/>
      <c r="H32" s="94"/>
    </row>
    <row r="33" spans="1:8" x14ac:dyDescent="0.25">
      <c r="A33" s="372"/>
      <c r="B33" s="372"/>
      <c r="C33" s="374" t="s">
        <v>331</v>
      </c>
      <c r="D33" s="374"/>
      <c r="E33" s="374"/>
      <c r="F33" s="94"/>
      <c r="G33" s="94"/>
      <c r="H33" s="94"/>
    </row>
    <row r="34" spans="1:8" x14ac:dyDescent="0.25">
      <c r="A34" s="9"/>
      <c r="B34" s="9"/>
      <c r="C34" s="101"/>
      <c r="D34" s="101"/>
      <c r="E34" s="101"/>
      <c r="F34" s="94"/>
      <c r="G34" s="94"/>
      <c r="H34" s="94"/>
    </row>
    <row r="35" spans="1:8" x14ac:dyDescent="0.25">
      <c r="A35" s="9"/>
      <c r="B35" s="9"/>
      <c r="C35" s="101"/>
      <c r="D35" s="101"/>
      <c r="E35" s="320" t="s">
        <v>32</v>
      </c>
      <c r="F35" s="320"/>
      <c r="G35" s="94"/>
      <c r="H35" s="94"/>
    </row>
    <row r="36" spans="1:8" x14ac:dyDescent="0.25">
      <c r="A36" s="321" t="s">
        <v>148</v>
      </c>
      <c r="B36" s="321"/>
      <c r="C36" s="321"/>
      <c r="D36" s="321"/>
      <c r="E36" s="321"/>
      <c r="F36" s="321"/>
      <c r="G36" s="94"/>
      <c r="H36" s="94"/>
    </row>
    <row r="37" spans="1:8" x14ac:dyDescent="0.25">
      <c r="A37" s="377" t="s">
        <v>332</v>
      </c>
      <c r="B37" s="515" t="s">
        <v>16</v>
      </c>
      <c r="C37" s="516"/>
      <c r="D37" s="516"/>
      <c r="E37" s="324" t="s">
        <v>150</v>
      </c>
      <c r="F37" s="324"/>
      <c r="G37" s="102"/>
      <c r="H37" s="14"/>
    </row>
    <row r="38" spans="1:8" ht="42" x14ac:dyDescent="0.25">
      <c r="A38" s="378"/>
      <c r="B38" s="92" t="s">
        <v>358</v>
      </c>
      <c r="C38" s="92" t="s">
        <v>359</v>
      </c>
      <c r="D38" s="267" t="s">
        <v>331</v>
      </c>
      <c r="E38" s="92" t="s">
        <v>111</v>
      </c>
      <c r="F38" s="92" t="s">
        <v>113</v>
      </c>
      <c r="G38" s="13"/>
      <c r="H38" s="14"/>
    </row>
    <row r="39" spans="1:8" x14ac:dyDescent="0.25">
      <c r="A39" s="106" t="s">
        <v>340</v>
      </c>
      <c r="B39" s="107">
        <f>F26/100*B22</f>
        <v>16131.991247264772</v>
      </c>
      <c r="C39" s="108">
        <f>$F$27/100*B22</f>
        <v>4530.4157549234142</v>
      </c>
      <c r="D39" s="109">
        <f>B21</f>
        <v>439.67164167295255</v>
      </c>
      <c r="E39" s="108">
        <f>B39/D39</f>
        <v>36.69099782256248</v>
      </c>
      <c r="F39" s="107">
        <f>C39/D39</f>
        <v>10.304089064478124</v>
      </c>
      <c r="G39" s="12"/>
      <c r="H39" s="94"/>
    </row>
    <row r="40" spans="1:8" x14ac:dyDescent="0.25">
      <c r="A40" s="106" t="s">
        <v>341</v>
      </c>
      <c r="B40" s="107">
        <f>F26/100*C22</f>
        <v>2419.7986870897153</v>
      </c>
      <c r="C40" s="108">
        <f>$F$27/100*C22</f>
        <v>679.56236323851203</v>
      </c>
      <c r="D40" s="109">
        <f>C21</f>
        <v>65.950746250942871</v>
      </c>
      <c r="E40" s="108">
        <f>B40/D40</f>
        <v>36.69099782256248</v>
      </c>
      <c r="F40" s="107">
        <f>C40/D40</f>
        <v>10.304089064478124</v>
      </c>
      <c r="G40" s="12"/>
      <c r="H40" s="94"/>
    </row>
    <row r="41" spans="1:8" x14ac:dyDescent="0.25">
      <c r="A41" s="106" t="s">
        <v>342</v>
      </c>
      <c r="B41" s="107">
        <f>F26/100*D22</f>
        <v>9275.8949671772425</v>
      </c>
      <c r="C41" s="108">
        <f>$F$27/100*D22</f>
        <v>2604.9890590809632</v>
      </c>
      <c r="D41" s="109">
        <f>D21</f>
        <v>252.81119396194768</v>
      </c>
      <c r="E41" s="108">
        <f>B41/D41/6</f>
        <v>6.1151663037604136</v>
      </c>
      <c r="F41" s="107">
        <f>C41/D41/6</f>
        <v>1.7173481774130208</v>
      </c>
      <c r="G41" s="12"/>
      <c r="H41" s="94"/>
    </row>
    <row r="42" spans="1:8" x14ac:dyDescent="0.25">
      <c r="A42" s="106" t="s">
        <v>343</v>
      </c>
      <c r="B42" s="107">
        <f>F26/100*E22</f>
        <v>55655.369803063455</v>
      </c>
      <c r="C42" s="108">
        <f>$F$27/100*E22</f>
        <v>15629.934354485777</v>
      </c>
      <c r="D42" s="109">
        <f>E21</f>
        <v>1516.8671637716861</v>
      </c>
      <c r="E42" s="108">
        <f>B42/D42</f>
        <v>36.690997822562473</v>
      </c>
      <c r="F42" s="107">
        <f>C42/D42</f>
        <v>10.304089064478122</v>
      </c>
      <c r="G42" s="12"/>
      <c r="H42" s="94"/>
    </row>
    <row r="43" spans="1:8" x14ac:dyDescent="0.25">
      <c r="A43" s="106" t="s">
        <v>344</v>
      </c>
      <c r="B43" s="107">
        <f>F26/100*F22</f>
        <v>55655.369803063455</v>
      </c>
      <c r="C43" s="108">
        <f>$F$27/100*F22</f>
        <v>15629.934354485777</v>
      </c>
      <c r="D43" s="109">
        <f>F21</f>
        <v>1516.8671637716861</v>
      </c>
      <c r="E43" s="108">
        <f>B43/D43</f>
        <v>36.690997822562473</v>
      </c>
      <c r="F43" s="107">
        <f>C43/D43</f>
        <v>10.304089064478122</v>
      </c>
      <c r="G43" s="12"/>
      <c r="H43" s="94"/>
    </row>
    <row r="44" spans="1:8" x14ac:dyDescent="0.25">
      <c r="A44" s="106" t="s">
        <v>345</v>
      </c>
      <c r="B44" s="107">
        <f>F26/100*G22</f>
        <v>45169.575492341362</v>
      </c>
      <c r="C44" s="108">
        <f>$F$27/100*G22</f>
        <v>12685.16411378556</v>
      </c>
      <c r="D44" s="268">
        <f>G21</f>
        <v>1231.080596684267</v>
      </c>
      <c r="E44" s="108">
        <f>B44/D44</f>
        <v>36.69099782256248</v>
      </c>
      <c r="F44" s="107">
        <f>C44/D44</f>
        <v>10.304089064478125</v>
      </c>
      <c r="G44" s="12"/>
      <c r="H44" s="94"/>
    </row>
    <row r="45" spans="1:8" x14ac:dyDescent="0.25">
      <c r="A45" s="106" t="s">
        <v>31</v>
      </c>
      <c r="B45" s="107">
        <f>SUM(B39:B44)</f>
        <v>184308</v>
      </c>
      <c r="C45" s="107">
        <f>SUM(C39:C44)</f>
        <v>51760.000000000007</v>
      </c>
      <c r="D45" s="107">
        <f>SUM(D39:D44)</f>
        <v>5023.2485061134821</v>
      </c>
      <c r="E45" s="107">
        <f>B45/D45</f>
        <v>36.69099782256248</v>
      </c>
      <c r="F45" s="107">
        <f>C45/D45</f>
        <v>10.304089064478125</v>
      </c>
      <c r="G45" s="12"/>
      <c r="H45" s="94"/>
    </row>
    <row r="46" spans="1:8" ht="30.75" customHeight="1" x14ac:dyDescent="0.25">
      <c r="A46" s="518" t="s">
        <v>268</v>
      </c>
      <c r="B46" s="518"/>
      <c r="C46" s="518"/>
      <c r="D46" s="518"/>
      <c r="E46" s="518"/>
      <c r="F46" s="518"/>
      <c r="G46" s="518"/>
      <c r="H46" s="3"/>
    </row>
    <row r="47" spans="1:8" x14ac:dyDescent="0.25">
      <c r="A47" s="3"/>
      <c r="B47" s="3"/>
      <c r="C47" s="3"/>
      <c r="D47" s="3"/>
      <c r="E47" s="3"/>
      <c r="F47" s="3"/>
      <c r="G47" s="3"/>
      <c r="H47" s="3"/>
    </row>
    <row r="48" spans="1:8" x14ac:dyDescent="0.25">
      <c r="A48" s="94"/>
      <c r="B48" s="94"/>
      <c r="C48" s="94"/>
      <c r="D48" s="94"/>
      <c r="E48" s="94"/>
      <c r="F48" s="94"/>
      <c r="G48" s="94"/>
      <c r="H48" s="94"/>
    </row>
    <row r="49" spans="1:8" ht="15.75" x14ac:dyDescent="0.25">
      <c r="A49" s="382" t="s">
        <v>56</v>
      </c>
      <c r="B49" s="382"/>
      <c r="C49" s="382"/>
      <c r="D49" s="31"/>
      <c r="E49" s="514" t="s">
        <v>58</v>
      </c>
      <c r="F49" s="514"/>
      <c r="G49" s="514"/>
      <c r="H49" s="31"/>
    </row>
    <row r="50" spans="1:8" ht="15.75" x14ac:dyDescent="0.25">
      <c r="A50" s="376" t="s">
        <v>57</v>
      </c>
      <c r="B50" s="376"/>
      <c r="C50" s="376"/>
      <c r="D50" s="31"/>
      <c r="E50" s="31"/>
      <c r="F50" s="91"/>
      <c r="G50" s="31"/>
      <c r="H50" s="31"/>
    </row>
  </sheetData>
  <mergeCells count="38">
    <mergeCell ref="A49:C49"/>
    <mergeCell ref="E49:G49"/>
    <mergeCell ref="A50:C50"/>
    <mergeCell ref="E35:F35"/>
    <mergeCell ref="A36:F36"/>
    <mergeCell ref="A37:A38"/>
    <mergeCell ref="B37:D37"/>
    <mergeCell ref="E37:F37"/>
    <mergeCell ref="A46:G46"/>
    <mergeCell ref="A27:E27"/>
    <mergeCell ref="A29:A30"/>
    <mergeCell ref="B29:D29"/>
    <mergeCell ref="B30:D30"/>
    <mergeCell ref="A32:B33"/>
    <mergeCell ref="C32:E32"/>
    <mergeCell ref="C33:E33"/>
    <mergeCell ref="A26:E26"/>
    <mergeCell ref="A9:F9"/>
    <mergeCell ref="A11:G11"/>
    <mergeCell ref="A13:C13"/>
    <mergeCell ref="G14:H14"/>
    <mergeCell ref="A15:H15"/>
    <mergeCell ref="A16:A17"/>
    <mergeCell ref="B16:B17"/>
    <mergeCell ref="C16:C17"/>
    <mergeCell ref="D16:D17"/>
    <mergeCell ref="E16:E17"/>
    <mergeCell ref="F16:F17"/>
    <mergeCell ref="G16:G17"/>
    <mergeCell ref="H16:H17"/>
    <mergeCell ref="A24:D24"/>
    <mergeCell ref="A25:G25"/>
    <mergeCell ref="A7:F7"/>
    <mergeCell ref="A1:H1"/>
    <mergeCell ref="A2:H2"/>
    <mergeCell ref="A3:E3"/>
    <mergeCell ref="A4:F4"/>
    <mergeCell ref="A5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53"/>
  <sheetViews>
    <sheetView topLeftCell="A43" workbookViewId="0">
      <selection activeCell="J49" sqref="J49"/>
    </sheetView>
  </sheetViews>
  <sheetFormatPr defaultRowHeight="15" x14ac:dyDescent="0.25"/>
  <cols>
    <col min="1" max="1" width="4.28515625" customWidth="1"/>
    <col min="2" max="2" width="31" customWidth="1"/>
    <col min="3" max="3" width="7.7109375" customWidth="1"/>
    <col min="4" max="4" width="12.85546875" customWidth="1"/>
    <col min="5" max="5" width="9.42578125" customWidth="1"/>
    <col min="6" max="6" width="18.28515625" customWidth="1"/>
    <col min="7" max="7" width="9.5703125" customWidth="1"/>
  </cols>
  <sheetData>
    <row r="1" spans="1:10" ht="15.75" x14ac:dyDescent="0.25">
      <c r="A1" s="31"/>
      <c r="B1" s="31"/>
      <c r="C1" s="44"/>
      <c r="D1" s="44"/>
      <c r="E1" s="68"/>
      <c r="F1" s="68"/>
      <c r="G1" s="69" t="s">
        <v>60</v>
      </c>
    </row>
    <row r="2" spans="1:10" ht="15.75" x14ac:dyDescent="0.25">
      <c r="A2" s="31"/>
      <c r="B2" s="31"/>
      <c r="C2" s="44"/>
      <c r="D2" s="44"/>
      <c r="E2" s="68"/>
      <c r="F2" s="68"/>
      <c r="G2" s="69" t="s">
        <v>61</v>
      </c>
    </row>
    <row r="3" spans="1:10" ht="15.75" x14ac:dyDescent="0.25">
      <c r="A3" s="31"/>
      <c r="B3" s="31"/>
      <c r="C3" s="44"/>
      <c r="D3" s="44"/>
      <c r="E3" s="68"/>
      <c r="F3" s="68"/>
      <c r="G3" s="69" t="s">
        <v>412</v>
      </c>
    </row>
    <row r="4" spans="1:10" ht="15.75" x14ac:dyDescent="0.25">
      <c r="A4" s="31"/>
      <c r="B4" s="31"/>
      <c r="C4" s="44"/>
      <c r="D4" s="44"/>
      <c r="E4" s="68"/>
      <c r="F4" s="68"/>
      <c r="G4" s="69" t="s">
        <v>413</v>
      </c>
    </row>
    <row r="5" spans="1:10" ht="15.75" x14ac:dyDescent="0.25">
      <c r="A5" s="31"/>
      <c r="B5" s="31"/>
      <c r="C5" s="44"/>
      <c r="D5" s="44"/>
      <c r="E5" s="31"/>
      <c r="F5" s="42"/>
      <c r="G5" s="31"/>
    </row>
    <row r="6" spans="1:10" ht="15.75" x14ac:dyDescent="0.25">
      <c r="A6" s="349" t="s">
        <v>98</v>
      </c>
      <c r="B6" s="349"/>
      <c r="C6" s="349"/>
      <c r="D6" s="349"/>
      <c r="E6" s="349"/>
      <c r="F6" s="349"/>
      <c r="G6" s="349"/>
    </row>
    <row r="7" spans="1:10" ht="15.75" x14ac:dyDescent="0.25">
      <c r="A7" s="349" t="s">
        <v>99</v>
      </c>
      <c r="B7" s="349"/>
      <c r="C7" s="349"/>
      <c r="D7" s="349"/>
      <c r="E7" s="349"/>
      <c r="F7" s="349"/>
      <c r="G7" s="349"/>
    </row>
    <row r="8" spans="1:10" ht="13.5" customHeight="1" x14ac:dyDescent="0.25">
      <c r="A8" s="350" t="s">
        <v>14</v>
      </c>
      <c r="B8" s="366" t="s">
        <v>100</v>
      </c>
      <c r="C8" s="367"/>
      <c r="D8" s="368"/>
      <c r="E8" s="352"/>
      <c r="F8" s="354" t="s">
        <v>101</v>
      </c>
      <c r="G8" s="354"/>
    </row>
    <row r="9" spans="1:10" ht="13.5" customHeight="1" x14ac:dyDescent="0.25">
      <c r="A9" s="351"/>
      <c r="B9" s="369"/>
      <c r="C9" s="370"/>
      <c r="D9" s="371"/>
      <c r="E9" s="353"/>
      <c r="F9" s="70" t="s">
        <v>102</v>
      </c>
      <c r="G9" s="71" t="s">
        <v>64</v>
      </c>
    </row>
    <row r="10" spans="1:10" ht="13.5" customHeight="1" x14ac:dyDescent="0.25">
      <c r="A10" s="72"/>
      <c r="B10" s="357" t="s">
        <v>131</v>
      </c>
      <c r="C10" s="361"/>
      <c r="D10" s="358"/>
      <c r="E10" s="72"/>
      <c r="F10" s="74">
        <f>62.85</f>
        <v>62.85</v>
      </c>
      <c r="G10" s="73" t="s">
        <v>103</v>
      </c>
    </row>
    <row r="11" spans="1:10" ht="13.5" customHeight="1" x14ac:dyDescent="0.25">
      <c r="A11" s="72"/>
      <c r="B11" s="362"/>
      <c r="C11" s="363"/>
      <c r="D11" s="364"/>
      <c r="E11" s="72"/>
      <c r="F11" s="74"/>
      <c r="G11" s="73"/>
      <c r="J11" t="s">
        <v>433</v>
      </c>
    </row>
    <row r="12" spans="1:10" ht="13.5" customHeight="1" x14ac:dyDescent="0.25">
      <c r="A12" s="72"/>
      <c r="B12" s="357" t="s">
        <v>104</v>
      </c>
      <c r="C12" s="361"/>
      <c r="D12" s="358"/>
      <c r="E12" s="75">
        <v>0.25</v>
      </c>
      <c r="F12" s="74">
        <f>F10*E12</f>
        <v>15.7125</v>
      </c>
      <c r="G12" s="73" t="s">
        <v>103</v>
      </c>
    </row>
    <row r="13" spans="1:10" ht="13.5" customHeight="1" x14ac:dyDescent="0.25">
      <c r="A13" s="72"/>
      <c r="B13" s="279"/>
      <c r="C13" s="281"/>
      <c r="D13" s="280"/>
      <c r="E13" s="75"/>
      <c r="F13" s="74"/>
      <c r="G13" s="73"/>
    </row>
    <row r="14" spans="1:10" ht="13.5" customHeight="1" x14ac:dyDescent="0.25">
      <c r="A14" s="72"/>
      <c r="B14" s="279" t="s">
        <v>216</v>
      </c>
      <c r="C14" s="281"/>
      <c r="D14" s="280"/>
      <c r="E14" s="75">
        <v>0.04</v>
      </c>
      <c r="F14" s="74">
        <f>F10*E14</f>
        <v>2.5140000000000002</v>
      </c>
      <c r="G14" s="73" t="s">
        <v>103</v>
      </c>
    </row>
    <row r="15" spans="1:10" ht="13.5" customHeight="1" x14ac:dyDescent="0.25">
      <c r="A15" s="72"/>
      <c r="B15" s="357"/>
      <c r="C15" s="361"/>
      <c r="D15" s="358"/>
      <c r="E15" s="75"/>
      <c r="F15" s="74"/>
      <c r="G15" s="73"/>
    </row>
    <row r="16" spans="1:10" ht="13.5" customHeight="1" x14ac:dyDescent="0.25">
      <c r="A16" s="72"/>
      <c r="B16" s="357" t="s">
        <v>105</v>
      </c>
      <c r="C16" s="361"/>
      <c r="D16" s="358"/>
      <c r="E16" s="75">
        <v>0.1</v>
      </c>
      <c r="F16" s="74">
        <f>F10*E16</f>
        <v>6.2850000000000001</v>
      </c>
      <c r="G16" s="73" t="s">
        <v>103</v>
      </c>
    </row>
    <row r="17" spans="1:7" ht="13.5" customHeight="1" x14ac:dyDescent="0.25">
      <c r="A17" s="72"/>
      <c r="B17" s="357"/>
      <c r="C17" s="361"/>
      <c r="D17" s="358"/>
      <c r="E17" s="72"/>
      <c r="F17" s="74"/>
      <c r="G17" s="73"/>
    </row>
    <row r="18" spans="1:7" ht="13.5" customHeight="1" x14ac:dyDescent="0.25">
      <c r="A18" s="72"/>
      <c r="B18" s="357" t="s">
        <v>106</v>
      </c>
      <c r="C18" s="361"/>
      <c r="D18" s="358"/>
      <c r="E18" s="75">
        <v>0.4</v>
      </c>
      <c r="F18" s="74">
        <f>(F10)*E18</f>
        <v>25.14</v>
      </c>
      <c r="G18" s="73" t="s">
        <v>103</v>
      </c>
    </row>
    <row r="19" spans="1:7" ht="13.5" customHeight="1" x14ac:dyDescent="0.25">
      <c r="A19" s="72"/>
      <c r="B19" s="357"/>
      <c r="C19" s="361"/>
      <c r="D19" s="358"/>
      <c r="E19" s="75"/>
      <c r="F19" s="74"/>
      <c r="G19" s="73"/>
    </row>
    <row r="20" spans="1:7" ht="13.5" customHeight="1" x14ac:dyDescent="0.25">
      <c r="A20" s="72"/>
      <c r="B20" s="357" t="s">
        <v>107</v>
      </c>
      <c r="C20" s="361"/>
      <c r="D20" s="358"/>
      <c r="E20" s="72"/>
      <c r="F20" s="74">
        <v>60</v>
      </c>
      <c r="G20" s="73" t="s">
        <v>108</v>
      </c>
    </row>
    <row r="21" spans="1:7" ht="13.5" customHeight="1" x14ac:dyDescent="0.25">
      <c r="A21" s="72"/>
      <c r="B21" s="357"/>
      <c r="C21" s="361"/>
      <c r="D21" s="358"/>
      <c r="E21" s="72"/>
      <c r="F21" s="74"/>
      <c r="G21" s="72"/>
    </row>
    <row r="22" spans="1:7" ht="13.5" customHeight="1" x14ac:dyDescent="0.25">
      <c r="A22" s="76">
        <v>1</v>
      </c>
      <c r="B22" s="357" t="s">
        <v>109</v>
      </c>
      <c r="C22" s="361"/>
      <c r="D22" s="358"/>
      <c r="E22" s="77"/>
      <c r="F22" s="78">
        <f>F10+F18+F12+F16+F14</f>
        <v>112.50150000000001</v>
      </c>
      <c r="G22" s="76" t="s">
        <v>103</v>
      </c>
    </row>
    <row r="23" spans="1:7" ht="13.5" customHeight="1" x14ac:dyDescent="0.25">
      <c r="A23" s="76"/>
      <c r="B23" s="357"/>
      <c r="C23" s="361"/>
      <c r="D23" s="358"/>
      <c r="E23" s="72"/>
      <c r="F23" s="74"/>
      <c r="G23" s="73"/>
    </row>
    <row r="24" spans="1:7" ht="13.5" customHeight="1" x14ac:dyDescent="0.25">
      <c r="A24" s="76">
        <v>2</v>
      </c>
      <c r="B24" s="357" t="s">
        <v>110</v>
      </c>
      <c r="C24" s="361"/>
      <c r="D24" s="358"/>
      <c r="E24" s="79">
        <v>0.30199999999999999</v>
      </c>
      <c r="F24" s="78">
        <f>E24*F22</f>
        <v>33.975453000000002</v>
      </c>
      <c r="G24" s="76" t="s">
        <v>103</v>
      </c>
    </row>
    <row r="25" spans="1:7" ht="13.5" customHeight="1" x14ac:dyDescent="0.25">
      <c r="A25" s="76"/>
      <c r="B25" s="357"/>
      <c r="C25" s="361"/>
      <c r="D25" s="358"/>
      <c r="E25" s="75"/>
      <c r="F25" s="74"/>
      <c r="G25" s="73"/>
    </row>
    <row r="26" spans="1:7" ht="13.5" customHeight="1" x14ac:dyDescent="0.25">
      <c r="A26" s="76">
        <v>3</v>
      </c>
      <c r="B26" s="77" t="s">
        <v>111</v>
      </c>
      <c r="C26" s="355" t="s">
        <v>112</v>
      </c>
      <c r="D26" s="356"/>
      <c r="E26" s="79"/>
      <c r="F26" s="78">
        <v>0</v>
      </c>
      <c r="G26" s="76" t="s">
        <v>103</v>
      </c>
    </row>
    <row r="27" spans="1:7" ht="13.5" customHeight="1" x14ac:dyDescent="0.25">
      <c r="A27" s="76"/>
      <c r="B27" s="357"/>
      <c r="C27" s="361"/>
      <c r="D27" s="358"/>
      <c r="E27" s="75"/>
      <c r="F27" s="74"/>
      <c r="G27" s="73"/>
    </row>
    <row r="28" spans="1:7" ht="13.5" customHeight="1" x14ac:dyDescent="0.25">
      <c r="A28" s="76">
        <v>4</v>
      </c>
      <c r="B28" s="357" t="s">
        <v>113</v>
      </c>
      <c r="C28" s="361"/>
      <c r="D28" s="358"/>
      <c r="E28" s="79"/>
      <c r="F28" s="78">
        <v>235.92</v>
      </c>
      <c r="G28" s="76" t="s">
        <v>103</v>
      </c>
    </row>
    <row r="29" spans="1:7" ht="13.5" customHeight="1" x14ac:dyDescent="0.25">
      <c r="A29" s="76"/>
      <c r="B29" s="357"/>
      <c r="C29" s="361"/>
      <c r="D29" s="358"/>
      <c r="E29" s="75"/>
      <c r="F29" s="74"/>
      <c r="G29" s="73"/>
    </row>
    <row r="30" spans="1:7" ht="13.5" customHeight="1" x14ac:dyDescent="0.25">
      <c r="A30" s="76">
        <v>5</v>
      </c>
      <c r="B30" s="77" t="s">
        <v>114</v>
      </c>
      <c r="C30" s="357" t="s">
        <v>115</v>
      </c>
      <c r="D30" s="358"/>
      <c r="E30" s="75"/>
      <c r="F30" s="80">
        <f>0.257*50</f>
        <v>12.85</v>
      </c>
      <c r="G30" s="73" t="s">
        <v>116</v>
      </c>
    </row>
    <row r="31" spans="1:7" ht="13.5" customHeight="1" x14ac:dyDescent="0.25">
      <c r="A31" s="76"/>
      <c r="B31" s="77"/>
      <c r="C31" s="359">
        <f>F30</f>
        <v>12.85</v>
      </c>
      <c r="D31" s="360"/>
      <c r="E31" s="81">
        <v>29.95</v>
      </c>
      <c r="F31" s="82">
        <f>F30*E31</f>
        <v>384.85749999999996</v>
      </c>
      <c r="G31" s="76" t="s">
        <v>103</v>
      </c>
    </row>
    <row r="32" spans="1:7" ht="13.5" customHeight="1" x14ac:dyDescent="0.25">
      <c r="A32" s="76"/>
      <c r="B32" s="357"/>
      <c r="C32" s="361"/>
      <c r="D32" s="358"/>
      <c r="E32" s="75"/>
      <c r="F32" s="74"/>
      <c r="G32" s="73"/>
    </row>
    <row r="33" spans="1:11" ht="13.5" customHeight="1" x14ac:dyDescent="0.25">
      <c r="A33" s="76">
        <v>6</v>
      </c>
      <c r="B33" s="357" t="s">
        <v>117</v>
      </c>
      <c r="C33" s="361"/>
      <c r="D33" s="358"/>
      <c r="E33" s="74"/>
      <c r="F33" s="74"/>
      <c r="G33" s="73"/>
    </row>
    <row r="34" spans="1:11" ht="13.5" customHeight="1" x14ac:dyDescent="0.25">
      <c r="A34" s="76"/>
      <c r="B34" s="72" t="s">
        <v>118</v>
      </c>
      <c r="C34" s="83">
        <v>2.1000000000000001E-2</v>
      </c>
      <c r="D34" s="84" t="s">
        <v>119</v>
      </c>
      <c r="E34" s="85">
        <v>142.52000000000001</v>
      </c>
      <c r="F34" s="74">
        <f>C34*$F$30*E34</f>
        <v>38.459022000000004</v>
      </c>
      <c r="G34" s="73" t="s">
        <v>103</v>
      </c>
    </row>
    <row r="35" spans="1:11" ht="13.5" customHeight="1" x14ac:dyDescent="0.25">
      <c r="A35" s="76"/>
      <c r="B35" s="72" t="s">
        <v>120</v>
      </c>
      <c r="C35" s="83">
        <v>3.0000000000000001E-3</v>
      </c>
      <c r="D35" s="86" t="s">
        <v>121</v>
      </c>
      <c r="E35" s="85">
        <v>88.65</v>
      </c>
      <c r="F35" s="74">
        <f>C35*$F$30*E35</f>
        <v>3.4174575000000003</v>
      </c>
      <c r="G35" s="73" t="s">
        <v>103</v>
      </c>
    </row>
    <row r="36" spans="1:11" ht="13.5" customHeight="1" x14ac:dyDescent="0.25">
      <c r="A36" s="76"/>
      <c r="B36" s="72" t="s">
        <v>122</v>
      </c>
      <c r="C36" s="83">
        <v>1E-3</v>
      </c>
      <c r="D36" s="86" t="s">
        <v>121</v>
      </c>
      <c r="E36" s="85">
        <v>56.75</v>
      </c>
      <c r="F36" s="74">
        <f>C36*$F$30*E36</f>
        <v>0.72923749999999998</v>
      </c>
      <c r="G36" s="73" t="s">
        <v>103</v>
      </c>
      <c r="I36" s="365"/>
      <c r="J36" s="365"/>
      <c r="K36" s="365"/>
    </row>
    <row r="37" spans="1:11" ht="13.5" customHeight="1" x14ac:dyDescent="0.25">
      <c r="A37" s="76"/>
      <c r="B37" s="72" t="s">
        <v>123</v>
      </c>
      <c r="C37" s="87">
        <v>3.0000000000000001E-3</v>
      </c>
      <c r="D37" s="88" t="s">
        <v>121</v>
      </c>
      <c r="E37" s="85">
        <v>100.17</v>
      </c>
      <c r="F37" s="74">
        <f>C37*$F$30*E37</f>
        <v>3.8615535000000003</v>
      </c>
      <c r="G37" s="73" t="s">
        <v>103</v>
      </c>
    </row>
    <row r="38" spans="1:11" ht="13.5" customHeight="1" x14ac:dyDescent="0.25">
      <c r="A38" s="76"/>
      <c r="B38" s="357" t="s">
        <v>124</v>
      </c>
      <c r="C38" s="361"/>
      <c r="D38" s="358"/>
      <c r="E38" s="75"/>
      <c r="F38" s="78">
        <f>SUM(F34:F37)</f>
        <v>46.467270499999998</v>
      </c>
      <c r="G38" s="76" t="s">
        <v>103</v>
      </c>
    </row>
    <row r="39" spans="1:11" ht="13.5" customHeight="1" x14ac:dyDescent="0.25">
      <c r="A39" s="76"/>
      <c r="B39" s="357"/>
      <c r="C39" s="361"/>
      <c r="D39" s="358"/>
      <c r="E39" s="75"/>
      <c r="F39" s="74"/>
      <c r="G39" s="73"/>
    </row>
    <row r="40" spans="1:11" ht="13.5" customHeight="1" x14ac:dyDescent="0.25">
      <c r="A40" s="76">
        <v>7</v>
      </c>
      <c r="B40" s="357" t="s">
        <v>125</v>
      </c>
      <c r="C40" s="361"/>
      <c r="D40" s="358"/>
      <c r="E40" s="79">
        <v>0.62</v>
      </c>
      <c r="F40" s="78">
        <f>F22*E40</f>
        <v>69.750930000000011</v>
      </c>
      <c r="G40" s="76" t="s">
        <v>103</v>
      </c>
    </row>
    <row r="41" spans="1:11" ht="13.5" customHeight="1" x14ac:dyDescent="0.25">
      <c r="A41" s="73"/>
      <c r="B41" s="357"/>
      <c r="C41" s="361"/>
      <c r="D41" s="358"/>
      <c r="E41" s="75"/>
      <c r="F41" s="74"/>
      <c r="G41" s="73"/>
    </row>
    <row r="42" spans="1:11" ht="13.5" customHeight="1" x14ac:dyDescent="0.25">
      <c r="A42" s="76">
        <v>8</v>
      </c>
      <c r="B42" s="357" t="s">
        <v>126</v>
      </c>
      <c r="C42" s="361"/>
      <c r="D42" s="358"/>
      <c r="E42" s="79"/>
      <c r="F42" s="78">
        <f>F22+F24+F26+F28+F31+F38+F40</f>
        <v>883.47265350000009</v>
      </c>
      <c r="G42" s="76" t="s">
        <v>103</v>
      </c>
    </row>
    <row r="43" spans="1:11" ht="13.5" customHeight="1" x14ac:dyDescent="0.25">
      <c r="A43" s="76"/>
      <c r="B43" s="357"/>
      <c r="C43" s="361"/>
      <c r="D43" s="358"/>
      <c r="E43" s="79"/>
      <c r="F43" s="78"/>
      <c r="G43" s="76"/>
    </row>
    <row r="44" spans="1:11" ht="13.5" customHeight="1" x14ac:dyDescent="0.25">
      <c r="A44" s="76">
        <v>9</v>
      </c>
      <c r="B44" s="357" t="s">
        <v>127</v>
      </c>
      <c r="C44" s="361"/>
      <c r="D44" s="358"/>
      <c r="E44" s="79"/>
      <c r="F44" s="78"/>
      <c r="G44" s="76"/>
    </row>
    <row r="45" spans="1:11" ht="13.5" customHeight="1" x14ac:dyDescent="0.25">
      <c r="A45" s="73"/>
      <c r="B45" s="357" t="s">
        <v>128</v>
      </c>
      <c r="C45" s="361"/>
      <c r="D45" s="358"/>
      <c r="E45" s="75">
        <v>0.1</v>
      </c>
      <c r="F45" s="74">
        <f>F42*E45</f>
        <v>88.347265350000015</v>
      </c>
      <c r="G45" s="73" t="s">
        <v>103</v>
      </c>
    </row>
    <row r="46" spans="1:11" ht="13.5" customHeight="1" x14ac:dyDescent="0.25">
      <c r="A46" s="73"/>
      <c r="B46" s="357" t="s">
        <v>129</v>
      </c>
      <c r="C46" s="361"/>
      <c r="D46" s="358"/>
      <c r="E46" s="75">
        <v>0.15</v>
      </c>
      <c r="F46" s="74">
        <f>F42*E46</f>
        <v>132.52089802500001</v>
      </c>
      <c r="G46" s="73" t="s">
        <v>103</v>
      </c>
    </row>
    <row r="47" spans="1:11" ht="13.5" customHeight="1" x14ac:dyDescent="0.25">
      <c r="A47" s="73"/>
      <c r="B47" s="357"/>
      <c r="C47" s="361"/>
      <c r="D47" s="358"/>
      <c r="E47" s="75"/>
      <c r="F47" s="74"/>
      <c r="G47" s="73"/>
    </row>
    <row r="48" spans="1:11" ht="13.5" customHeight="1" x14ac:dyDescent="0.25">
      <c r="A48" s="76">
        <v>10</v>
      </c>
      <c r="B48" s="357" t="s">
        <v>130</v>
      </c>
      <c r="C48" s="361"/>
      <c r="D48" s="358"/>
      <c r="E48" s="79"/>
      <c r="F48" s="78"/>
      <c r="G48" s="76"/>
    </row>
    <row r="49" spans="1:7" ht="13.5" customHeight="1" x14ac:dyDescent="0.25">
      <c r="A49" s="73"/>
      <c r="B49" s="72" t="s">
        <v>128</v>
      </c>
      <c r="C49" s="73"/>
      <c r="D49" s="73"/>
      <c r="E49" s="75"/>
      <c r="F49" s="74">
        <f>F42+F45</f>
        <v>971.81991885000014</v>
      </c>
      <c r="G49" s="73" t="s">
        <v>103</v>
      </c>
    </row>
    <row r="50" spans="1:7" ht="13.5" customHeight="1" x14ac:dyDescent="0.25">
      <c r="A50" s="73"/>
      <c r="B50" s="72" t="s">
        <v>129</v>
      </c>
      <c r="C50" s="73"/>
      <c r="D50" s="73"/>
      <c r="E50" s="75"/>
      <c r="F50" s="74">
        <f>F42+F46</f>
        <v>1015.9935515250002</v>
      </c>
      <c r="G50" s="73" t="s">
        <v>103</v>
      </c>
    </row>
    <row r="51" spans="1:7" ht="13.5" customHeight="1" x14ac:dyDescent="0.25">
      <c r="A51" s="31"/>
      <c r="B51" s="31"/>
      <c r="C51" s="44"/>
      <c r="D51" s="44"/>
      <c r="E51" s="31"/>
      <c r="F51" s="42"/>
      <c r="G51" s="89"/>
    </row>
    <row r="52" spans="1:7" ht="13.5" customHeight="1" x14ac:dyDescent="0.25">
      <c r="A52" s="31"/>
      <c r="B52" s="31"/>
      <c r="C52" s="44"/>
      <c r="D52" s="44"/>
      <c r="E52" s="31"/>
      <c r="F52" s="42"/>
      <c r="G52" s="31"/>
    </row>
    <row r="53" spans="1:7" ht="13.5" customHeight="1" x14ac:dyDescent="0.25">
      <c r="A53" s="31"/>
      <c r="B53" s="44" t="s">
        <v>56</v>
      </c>
      <c r="C53" s="44"/>
      <c r="D53" s="44"/>
      <c r="E53" s="31"/>
      <c r="F53" s="67" t="s">
        <v>58</v>
      </c>
      <c r="G53" s="31"/>
    </row>
  </sheetData>
  <mergeCells count="40">
    <mergeCell ref="I36:K36"/>
    <mergeCell ref="B8:D9"/>
    <mergeCell ref="B43:D43"/>
    <mergeCell ref="B44:D44"/>
    <mergeCell ref="B45:D45"/>
    <mergeCell ref="B25:D25"/>
    <mergeCell ref="B27:D27"/>
    <mergeCell ref="B28:D28"/>
    <mergeCell ref="B29:D29"/>
    <mergeCell ref="B32:D32"/>
    <mergeCell ref="B19:D19"/>
    <mergeCell ref="B20:D20"/>
    <mergeCell ref="B21:D21"/>
    <mergeCell ref="B22:D22"/>
    <mergeCell ref="B23:D23"/>
    <mergeCell ref="B24:D24"/>
    <mergeCell ref="B46:D46"/>
    <mergeCell ref="B47:D47"/>
    <mergeCell ref="B48:D48"/>
    <mergeCell ref="B33:D33"/>
    <mergeCell ref="B38:D38"/>
    <mergeCell ref="B39:D39"/>
    <mergeCell ref="B40:D40"/>
    <mergeCell ref="B41:D41"/>
    <mergeCell ref="B42:D42"/>
    <mergeCell ref="C26:D26"/>
    <mergeCell ref="C30:D30"/>
    <mergeCell ref="C31:D31"/>
    <mergeCell ref="B10:D10"/>
    <mergeCell ref="B11:D11"/>
    <mergeCell ref="B12:D12"/>
    <mergeCell ref="B15:D15"/>
    <mergeCell ref="B16:D16"/>
    <mergeCell ref="B17:D17"/>
    <mergeCell ref="B18:D18"/>
    <mergeCell ref="A6:G6"/>
    <mergeCell ref="A7:G7"/>
    <mergeCell ref="A8:A9"/>
    <mergeCell ref="E8:E9"/>
    <mergeCell ref="F8:G8"/>
  </mergeCells>
  <pageMargins left="0.25" right="0.25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2"/>
  <sheetViews>
    <sheetView workbookViewId="0">
      <selection activeCell="H13" sqref="H13"/>
    </sheetView>
  </sheetViews>
  <sheetFormatPr defaultRowHeight="15" x14ac:dyDescent="0.25"/>
  <cols>
    <col min="1" max="1" width="5.5703125" customWidth="1"/>
    <col min="2" max="2" width="30.28515625" customWidth="1"/>
    <col min="3" max="3" width="6.85546875" customWidth="1"/>
    <col min="4" max="4" width="13.5703125" customWidth="1"/>
    <col min="5" max="5" width="10.85546875" customWidth="1"/>
    <col min="6" max="6" width="17.7109375" customWidth="1"/>
    <col min="7" max="7" width="13.28515625" customWidth="1"/>
  </cols>
  <sheetData>
    <row r="1" spans="1:7" ht="15.75" x14ac:dyDescent="0.25">
      <c r="A1" s="113"/>
      <c r="B1" s="113"/>
      <c r="C1" s="113"/>
      <c r="D1" s="144"/>
      <c r="E1" s="113"/>
      <c r="F1" s="117"/>
      <c r="G1" s="115" t="s">
        <v>167</v>
      </c>
    </row>
    <row r="2" spans="1:7" ht="15.75" x14ac:dyDescent="0.25">
      <c r="A2" s="113"/>
      <c r="B2" s="113"/>
      <c r="C2" s="113"/>
      <c r="D2" s="144"/>
      <c r="E2" s="113"/>
      <c r="F2" s="117"/>
      <c r="G2" s="115" t="s">
        <v>61</v>
      </c>
    </row>
    <row r="3" spans="1:7" ht="15.75" x14ac:dyDescent="0.25">
      <c r="A3" s="113"/>
      <c r="B3" s="113"/>
      <c r="C3" s="113"/>
      <c r="D3" s="144"/>
      <c r="E3" s="113"/>
      <c r="F3" s="117"/>
      <c r="G3" s="115" t="s">
        <v>414</v>
      </c>
    </row>
    <row r="4" spans="1:7" ht="15.75" x14ac:dyDescent="0.25">
      <c r="A4" s="113"/>
      <c r="B4" s="113"/>
      <c r="C4" s="113"/>
      <c r="D4" s="144"/>
      <c r="E4" s="113"/>
      <c r="F4" s="117"/>
      <c r="G4" s="115" t="s">
        <v>427</v>
      </c>
    </row>
    <row r="5" spans="1:7" ht="15.75" x14ac:dyDescent="0.25">
      <c r="A5" s="113"/>
      <c r="B5" s="113"/>
      <c r="C5" s="113"/>
      <c r="D5" s="144"/>
      <c r="E5" s="144"/>
      <c r="F5" s="117"/>
      <c r="G5" s="113"/>
    </row>
    <row r="6" spans="1:7" ht="15.75" x14ac:dyDescent="0.25">
      <c r="A6" s="394" t="s">
        <v>98</v>
      </c>
      <c r="B6" s="394"/>
      <c r="C6" s="394"/>
      <c r="D6" s="394"/>
      <c r="E6" s="394"/>
      <c r="F6" s="394"/>
      <c r="G6" s="394"/>
    </row>
    <row r="7" spans="1:7" ht="15.75" x14ac:dyDescent="0.25">
      <c r="A7" s="394" t="s">
        <v>361</v>
      </c>
      <c r="B7" s="394"/>
      <c r="C7" s="394"/>
      <c r="D7" s="394"/>
      <c r="E7" s="394"/>
      <c r="F7" s="394"/>
      <c r="G7" s="394"/>
    </row>
    <row r="8" spans="1:7" x14ac:dyDescent="0.25">
      <c r="A8" s="519" t="s">
        <v>14</v>
      </c>
      <c r="B8" s="521" t="s">
        <v>100</v>
      </c>
      <c r="C8" s="522"/>
      <c r="D8" s="522"/>
      <c r="E8" s="523"/>
      <c r="F8" s="527" t="s">
        <v>101</v>
      </c>
      <c r="G8" s="527"/>
    </row>
    <row r="9" spans="1:7" x14ac:dyDescent="0.25">
      <c r="A9" s="520"/>
      <c r="B9" s="524"/>
      <c r="C9" s="525"/>
      <c r="D9" s="525"/>
      <c r="E9" s="526"/>
      <c r="F9" s="145" t="s">
        <v>102</v>
      </c>
      <c r="G9" s="145" t="s">
        <v>64</v>
      </c>
    </row>
    <row r="10" spans="1:7" ht="15.75" x14ac:dyDescent="0.25">
      <c r="A10" s="118"/>
      <c r="B10" s="118" t="s">
        <v>158</v>
      </c>
      <c r="C10" s="118"/>
      <c r="D10" s="122"/>
      <c r="E10" s="122"/>
      <c r="F10" s="121">
        <v>74.34</v>
      </c>
      <c r="G10" s="122" t="s">
        <v>103</v>
      </c>
    </row>
    <row r="11" spans="1:7" ht="12" customHeight="1" x14ac:dyDescent="0.25">
      <c r="A11" s="118"/>
      <c r="B11" s="118"/>
      <c r="C11" s="118"/>
      <c r="D11" s="122"/>
      <c r="E11" s="122"/>
      <c r="F11" s="121"/>
      <c r="G11" s="122"/>
    </row>
    <row r="12" spans="1:7" ht="15.75" x14ac:dyDescent="0.25">
      <c r="A12" s="118"/>
      <c r="B12" s="118" t="s">
        <v>360</v>
      </c>
      <c r="C12" s="118"/>
      <c r="D12" s="122"/>
      <c r="E12" s="175">
        <v>0.25</v>
      </c>
      <c r="F12" s="121">
        <f>F10*E12</f>
        <v>18.585000000000001</v>
      </c>
      <c r="G12" s="122" t="s">
        <v>103</v>
      </c>
    </row>
    <row r="13" spans="1:7" ht="12" customHeight="1" x14ac:dyDescent="0.25">
      <c r="A13" s="118"/>
      <c r="B13" s="118"/>
      <c r="C13" s="118"/>
      <c r="D13" s="122"/>
      <c r="E13" s="122"/>
      <c r="F13" s="121"/>
      <c r="G13" s="122"/>
    </row>
    <row r="14" spans="1:7" ht="15.75" x14ac:dyDescent="0.25">
      <c r="A14" s="118"/>
      <c r="B14" s="118" t="s">
        <v>105</v>
      </c>
      <c r="C14" s="118"/>
      <c r="D14" s="122"/>
      <c r="E14" s="175">
        <v>0.1</v>
      </c>
      <c r="F14" s="121">
        <f>F10*E14</f>
        <v>7.4340000000000011</v>
      </c>
      <c r="G14" s="122" t="s">
        <v>103</v>
      </c>
    </row>
    <row r="15" spans="1:7" ht="12" customHeight="1" x14ac:dyDescent="0.25">
      <c r="A15" s="118"/>
      <c r="B15" s="118"/>
      <c r="C15" s="118"/>
      <c r="D15" s="122"/>
      <c r="E15" s="122"/>
      <c r="F15" s="121"/>
      <c r="G15" s="122"/>
    </row>
    <row r="16" spans="1:7" ht="15.75" x14ac:dyDescent="0.25">
      <c r="A16" s="118"/>
      <c r="B16" s="118" t="s">
        <v>106</v>
      </c>
      <c r="C16" s="118"/>
      <c r="D16" s="122"/>
      <c r="E16" s="175">
        <v>0.4</v>
      </c>
      <c r="F16" s="121">
        <f>SUM(F10)*E16</f>
        <v>29.736000000000004</v>
      </c>
      <c r="G16" s="122" t="s">
        <v>103</v>
      </c>
    </row>
    <row r="17" spans="1:7" ht="12" customHeight="1" x14ac:dyDescent="0.25">
      <c r="A17" s="118"/>
      <c r="B17" s="118"/>
      <c r="C17" s="118"/>
      <c r="D17" s="122"/>
      <c r="E17" s="175"/>
      <c r="F17" s="121"/>
      <c r="G17" s="122"/>
    </row>
    <row r="18" spans="1:7" ht="15.75" x14ac:dyDescent="0.25">
      <c r="A18" s="118"/>
      <c r="B18" s="118" t="s">
        <v>107</v>
      </c>
      <c r="C18" s="118"/>
      <c r="D18" s="122"/>
      <c r="E18" s="122"/>
      <c r="F18" s="121">
        <v>60</v>
      </c>
      <c r="G18" s="122" t="s">
        <v>108</v>
      </c>
    </row>
    <row r="19" spans="1:7" ht="12" customHeight="1" x14ac:dyDescent="0.25">
      <c r="A19" s="118"/>
      <c r="B19" s="118"/>
      <c r="C19" s="118"/>
      <c r="D19" s="122"/>
      <c r="E19" s="122"/>
      <c r="F19" s="121"/>
      <c r="G19" s="118"/>
    </row>
    <row r="20" spans="1:7" ht="15.75" x14ac:dyDescent="0.25">
      <c r="A20" s="126">
        <v>1</v>
      </c>
      <c r="B20" s="127" t="s">
        <v>109</v>
      </c>
      <c r="C20" s="127"/>
      <c r="D20" s="126"/>
      <c r="E20" s="126"/>
      <c r="F20" s="130">
        <f>F10+F12+F14+F16</f>
        <v>130.09500000000003</v>
      </c>
      <c r="G20" s="126" t="s">
        <v>103</v>
      </c>
    </row>
    <row r="21" spans="1:7" ht="12" customHeight="1" x14ac:dyDescent="0.25">
      <c r="A21" s="122"/>
      <c r="B21" s="118"/>
      <c r="C21" s="118"/>
      <c r="D21" s="122"/>
      <c r="E21" s="122"/>
      <c r="F21" s="121"/>
      <c r="G21" s="122"/>
    </row>
    <row r="22" spans="1:7" ht="15.75" x14ac:dyDescent="0.25">
      <c r="A22" s="126">
        <v>2</v>
      </c>
      <c r="B22" s="127" t="s">
        <v>110</v>
      </c>
      <c r="C22" s="127"/>
      <c r="D22" s="126"/>
      <c r="E22" s="177">
        <v>0.30199999999999999</v>
      </c>
      <c r="F22" s="130">
        <f>E22*F20</f>
        <v>39.28869000000001</v>
      </c>
      <c r="G22" s="126" t="s">
        <v>103</v>
      </c>
    </row>
    <row r="23" spans="1:7" ht="12" customHeight="1" x14ac:dyDescent="0.25">
      <c r="A23" s="122"/>
      <c r="B23" s="118"/>
      <c r="C23" s="118"/>
      <c r="D23" s="122"/>
      <c r="E23" s="175"/>
      <c r="F23" s="121"/>
      <c r="G23" s="122"/>
    </row>
    <row r="24" spans="1:7" ht="15.75" x14ac:dyDescent="0.25">
      <c r="A24" s="126">
        <v>3</v>
      </c>
      <c r="B24" s="127" t="s">
        <v>111</v>
      </c>
      <c r="C24" s="127"/>
      <c r="D24" s="126"/>
      <c r="E24" s="177"/>
      <c r="F24" s="130">
        <v>70.430000000000007</v>
      </c>
      <c r="G24" s="126" t="s">
        <v>103</v>
      </c>
    </row>
    <row r="25" spans="1:7" ht="12" customHeight="1" x14ac:dyDescent="0.25">
      <c r="A25" s="122"/>
      <c r="B25" s="118"/>
      <c r="C25" s="118"/>
      <c r="D25" s="122"/>
      <c r="E25" s="175"/>
      <c r="F25" s="121"/>
      <c r="G25" s="122"/>
    </row>
    <row r="26" spans="1:7" ht="15.75" x14ac:dyDescent="0.25">
      <c r="A26" s="126">
        <v>4</v>
      </c>
      <c r="B26" s="127" t="s">
        <v>113</v>
      </c>
      <c r="C26" s="127"/>
      <c r="D26" s="126"/>
      <c r="E26" s="177"/>
      <c r="F26" s="130">
        <v>164.32</v>
      </c>
      <c r="G26" s="126" t="s">
        <v>103</v>
      </c>
    </row>
    <row r="27" spans="1:7" ht="12" customHeight="1" x14ac:dyDescent="0.25">
      <c r="A27" s="122"/>
      <c r="B27" s="118"/>
      <c r="C27" s="118"/>
      <c r="D27" s="122"/>
      <c r="E27" s="175"/>
      <c r="F27" s="121"/>
      <c r="G27" s="122"/>
    </row>
    <row r="28" spans="1:7" ht="15.75" x14ac:dyDescent="0.25">
      <c r="A28" s="126">
        <v>5</v>
      </c>
      <c r="B28" s="127" t="s">
        <v>161</v>
      </c>
      <c r="C28" s="127"/>
      <c r="D28" s="126"/>
      <c r="E28" s="180"/>
      <c r="F28" s="133">
        <v>13.53</v>
      </c>
      <c r="G28" s="122" t="s">
        <v>116</v>
      </c>
    </row>
    <row r="29" spans="1:7" ht="15.75" x14ac:dyDescent="0.25">
      <c r="A29" s="122"/>
      <c r="B29" s="118"/>
      <c r="C29" s="149" t="s">
        <v>362</v>
      </c>
      <c r="D29" s="122"/>
      <c r="E29" s="209">
        <v>32</v>
      </c>
      <c r="F29" s="135">
        <f>F28*E29</f>
        <v>432.96</v>
      </c>
      <c r="G29" s="126" t="s">
        <v>103</v>
      </c>
    </row>
    <row r="30" spans="1:7" ht="12" customHeight="1" x14ac:dyDescent="0.25">
      <c r="A30" s="122"/>
      <c r="B30" s="118"/>
      <c r="C30" s="118"/>
      <c r="D30" s="122"/>
      <c r="E30" s="179"/>
      <c r="F30" s="121"/>
      <c r="G30" s="122"/>
    </row>
    <row r="31" spans="1:7" ht="15.75" x14ac:dyDescent="0.25">
      <c r="A31" s="126">
        <v>6</v>
      </c>
      <c r="B31" s="127" t="s">
        <v>117</v>
      </c>
      <c r="C31" s="118"/>
      <c r="D31" s="122"/>
      <c r="E31" s="179"/>
      <c r="F31" s="121"/>
      <c r="G31" s="113"/>
    </row>
    <row r="32" spans="1:7" ht="15.75" x14ac:dyDescent="0.25">
      <c r="A32" s="122"/>
      <c r="B32" s="118" t="s">
        <v>118</v>
      </c>
      <c r="C32" s="211">
        <v>3.2000000000000001E-2</v>
      </c>
      <c r="D32" s="187" t="s">
        <v>196</v>
      </c>
      <c r="E32" s="182">
        <v>142.72999999999999</v>
      </c>
      <c r="F32" s="121">
        <f>C32*$F$28*E32</f>
        <v>61.796380799999994</v>
      </c>
      <c r="G32" s="122" t="s">
        <v>103</v>
      </c>
    </row>
    <row r="33" spans="1:7" ht="15.75" x14ac:dyDescent="0.25">
      <c r="A33" s="122"/>
      <c r="B33" s="118" t="s">
        <v>120</v>
      </c>
      <c r="C33" s="211">
        <v>4.0000000000000001E-3</v>
      </c>
      <c r="D33" s="189" t="s">
        <v>121</v>
      </c>
      <c r="E33" s="182">
        <v>88.65</v>
      </c>
      <c r="F33" s="121">
        <f>C33*$F$28*E33</f>
        <v>4.7977380000000007</v>
      </c>
      <c r="G33" s="122" t="s">
        <v>103</v>
      </c>
    </row>
    <row r="34" spans="1:7" ht="15.75" x14ac:dyDescent="0.25">
      <c r="A34" s="122"/>
      <c r="B34" s="118" t="s">
        <v>122</v>
      </c>
      <c r="C34" s="211">
        <v>1E-3</v>
      </c>
      <c r="D34" s="189" t="s">
        <v>121</v>
      </c>
      <c r="E34" s="182">
        <v>56.75</v>
      </c>
      <c r="F34" s="121">
        <f>C34*$F$28*E34</f>
        <v>0.7678275</v>
      </c>
      <c r="G34" s="122" t="s">
        <v>103</v>
      </c>
    </row>
    <row r="35" spans="1:7" ht="15.75" x14ac:dyDescent="0.25">
      <c r="A35" s="122"/>
      <c r="B35" s="118" t="s">
        <v>123</v>
      </c>
      <c r="C35" s="213">
        <v>3.0000000000000001E-3</v>
      </c>
      <c r="D35" s="190" t="s">
        <v>121</v>
      </c>
      <c r="E35" s="182">
        <v>100.17</v>
      </c>
      <c r="F35" s="121">
        <f>C35*$F$28*E35</f>
        <v>4.0659003</v>
      </c>
      <c r="G35" s="122" t="s">
        <v>103</v>
      </c>
    </row>
    <row r="36" spans="1:7" ht="15.75" x14ac:dyDescent="0.25">
      <c r="A36" s="122"/>
      <c r="B36" s="118" t="s">
        <v>124</v>
      </c>
      <c r="C36" s="118"/>
      <c r="D36" s="191"/>
      <c r="E36" s="180"/>
      <c r="F36" s="130">
        <f>SUM(F32:F35)</f>
        <v>71.427846599999981</v>
      </c>
      <c r="G36" s="126" t="s">
        <v>103</v>
      </c>
    </row>
    <row r="37" spans="1:7" ht="12" customHeight="1" x14ac:dyDescent="0.25">
      <c r="A37" s="122"/>
      <c r="B37" s="118"/>
      <c r="C37" s="118"/>
      <c r="D37" s="191"/>
      <c r="E37" s="177"/>
      <c r="F37" s="130"/>
      <c r="G37" s="126"/>
    </row>
    <row r="38" spans="1:7" ht="15.75" x14ac:dyDescent="0.25">
      <c r="A38" s="126">
        <v>7</v>
      </c>
      <c r="B38" s="127" t="s">
        <v>125</v>
      </c>
      <c r="C38" s="127"/>
      <c r="D38" s="126"/>
      <c r="E38" s="177">
        <v>0.62</v>
      </c>
      <c r="F38" s="130">
        <f>F20*E38</f>
        <v>80.658900000000017</v>
      </c>
      <c r="G38" s="126" t="s">
        <v>103</v>
      </c>
    </row>
    <row r="39" spans="1:7" ht="12" customHeight="1" x14ac:dyDescent="0.25">
      <c r="A39" s="122"/>
      <c r="B39" s="118"/>
      <c r="C39" s="118"/>
      <c r="D39" s="122"/>
      <c r="E39" s="175"/>
      <c r="F39" s="121"/>
      <c r="G39" s="122"/>
    </row>
    <row r="40" spans="1:7" ht="15.75" x14ac:dyDescent="0.25">
      <c r="A40" s="126">
        <v>8</v>
      </c>
      <c r="B40" s="127" t="s">
        <v>126</v>
      </c>
      <c r="C40" s="127"/>
      <c r="D40" s="126"/>
      <c r="E40" s="177"/>
      <c r="F40" s="130">
        <f>F20+F22+F24+F26+F29+F36+F38</f>
        <v>989.18043659999989</v>
      </c>
      <c r="G40" s="126" t="s">
        <v>103</v>
      </c>
    </row>
    <row r="41" spans="1:7" ht="12" customHeight="1" x14ac:dyDescent="0.25">
      <c r="A41" s="126"/>
      <c r="B41" s="127"/>
      <c r="C41" s="127"/>
      <c r="D41" s="126"/>
      <c r="E41" s="177"/>
      <c r="F41" s="130"/>
      <c r="G41" s="126"/>
    </row>
    <row r="42" spans="1:7" ht="15.75" x14ac:dyDescent="0.25">
      <c r="A42" s="126">
        <v>9</v>
      </c>
      <c r="B42" s="127" t="s">
        <v>127</v>
      </c>
      <c r="C42" s="127"/>
      <c r="D42" s="126"/>
      <c r="E42" s="177"/>
      <c r="F42" s="130"/>
      <c r="G42" s="126"/>
    </row>
    <row r="43" spans="1:7" ht="15.75" x14ac:dyDescent="0.25">
      <c r="A43" s="122"/>
      <c r="B43" s="118" t="s">
        <v>128</v>
      </c>
      <c r="C43" s="118"/>
      <c r="D43" s="122"/>
      <c r="E43" s="175">
        <v>0.1</v>
      </c>
      <c r="F43" s="121">
        <f>F40*E43</f>
        <v>98.918043659999995</v>
      </c>
      <c r="G43" s="122" t="s">
        <v>103</v>
      </c>
    </row>
    <row r="44" spans="1:7" ht="15.75" x14ac:dyDescent="0.25">
      <c r="A44" s="122"/>
      <c r="B44" s="118" t="s">
        <v>129</v>
      </c>
      <c r="C44" s="118"/>
      <c r="D44" s="122"/>
      <c r="E44" s="175">
        <v>0.15</v>
      </c>
      <c r="F44" s="121">
        <f>F40*E44</f>
        <v>148.37706548999998</v>
      </c>
      <c r="G44" s="122" t="s">
        <v>103</v>
      </c>
    </row>
    <row r="45" spans="1:7" ht="12" customHeight="1" x14ac:dyDescent="0.25">
      <c r="A45" s="122"/>
      <c r="B45" s="118"/>
      <c r="C45" s="118"/>
      <c r="D45" s="122"/>
      <c r="E45" s="175"/>
      <c r="F45" s="121"/>
      <c r="G45" s="122"/>
    </row>
    <row r="46" spans="1:7" ht="15.75" x14ac:dyDescent="0.25">
      <c r="A46" s="126">
        <v>10</v>
      </c>
      <c r="B46" s="127" t="s">
        <v>130</v>
      </c>
      <c r="C46" s="127"/>
      <c r="D46" s="126"/>
      <c r="E46" s="177"/>
      <c r="F46" s="130"/>
      <c r="G46" s="126"/>
    </row>
    <row r="47" spans="1:7" ht="15.75" x14ac:dyDescent="0.25">
      <c r="A47" s="122"/>
      <c r="B47" s="118" t="s">
        <v>128</v>
      </c>
      <c r="C47" s="118"/>
      <c r="D47" s="122"/>
      <c r="E47" s="175"/>
      <c r="F47" s="130">
        <f>F40+F43</f>
        <v>1088.0984802599999</v>
      </c>
      <c r="G47" s="126" t="s">
        <v>103</v>
      </c>
    </row>
    <row r="48" spans="1:7" ht="15.75" x14ac:dyDescent="0.25">
      <c r="A48" s="122"/>
      <c r="B48" s="118" t="s">
        <v>129</v>
      </c>
      <c r="C48" s="118"/>
      <c r="D48" s="122"/>
      <c r="E48" s="175"/>
      <c r="F48" s="130">
        <f>F40+F44</f>
        <v>1137.5575020899998</v>
      </c>
      <c r="G48" s="126" t="s">
        <v>103</v>
      </c>
    </row>
    <row r="49" spans="1:7" ht="15.75" x14ac:dyDescent="0.25">
      <c r="A49" s="113"/>
      <c r="B49" s="113"/>
      <c r="C49" s="113"/>
      <c r="D49" s="144"/>
      <c r="E49" s="144"/>
      <c r="F49" s="117"/>
      <c r="G49" s="172"/>
    </row>
    <row r="50" spans="1:7" ht="0.75" customHeight="1" x14ac:dyDescent="0.25">
      <c r="A50" s="113"/>
      <c r="B50" s="113"/>
      <c r="C50" s="113"/>
      <c r="D50" s="144"/>
      <c r="E50" s="144"/>
      <c r="F50" s="117"/>
      <c r="G50" s="113"/>
    </row>
    <row r="51" spans="1:7" ht="15.75" x14ac:dyDescent="0.25">
      <c r="A51" s="31"/>
      <c r="B51" s="90" t="s">
        <v>56</v>
      </c>
      <c r="C51" s="90"/>
      <c r="D51" s="90"/>
      <c r="E51" s="31"/>
      <c r="F51" s="67" t="s">
        <v>58</v>
      </c>
      <c r="G51" s="31"/>
    </row>
    <row r="52" spans="1:7" ht="15.75" x14ac:dyDescent="0.25">
      <c r="A52" s="31"/>
      <c r="B52" s="91" t="s">
        <v>57</v>
      </c>
      <c r="C52" s="90"/>
      <c r="D52" s="90"/>
      <c r="E52" s="31"/>
      <c r="F52" s="42"/>
      <c r="G52" s="31"/>
    </row>
  </sheetData>
  <mergeCells count="5">
    <mergeCell ref="A6:G6"/>
    <mergeCell ref="A7:G7"/>
    <mergeCell ref="A8:A9"/>
    <mergeCell ref="B8:E9"/>
    <mergeCell ref="F8:G8"/>
  </mergeCells>
  <pageMargins left="0.25" right="0.25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2"/>
  <sheetViews>
    <sheetView topLeftCell="A10" workbookViewId="0">
      <selection activeCell="J24" sqref="J24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17" t="s">
        <v>363</v>
      </c>
      <c r="B1" s="317"/>
      <c r="C1" s="317"/>
      <c r="D1" s="317"/>
      <c r="E1" s="317"/>
      <c r="F1" s="317"/>
      <c r="G1" s="317"/>
    </row>
    <row r="2" spans="1:7" x14ac:dyDescent="0.25">
      <c r="A2" s="316" t="s">
        <v>135</v>
      </c>
      <c r="B2" s="316"/>
      <c r="C2" s="316"/>
      <c r="D2" s="316"/>
      <c r="E2" s="316"/>
      <c r="F2" s="316"/>
      <c r="G2" s="3"/>
    </row>
    <row r="3" spans="1:7" x14ac:dyDescent="0.25">
      <c r="A3" s="94"/>
      <c r="B3" s="5">
        <f>[1]Лист2!E71</f>
        <v>1201.515525</v>
      </c>
      <c r="C3" s="3" t="s">
        <v>136</v>
      </c>
      <c r="D3" s="3"/>
      <c r="E3" s="3"/>
      <c r="F3" s="3"/>
      <c r="G3" s="3"/>
    </row>
    <row r="4" spans="1:7" x14ac:dyDescent="0.25">
      <c r="A4" s="316" t="s">
        <v>137</v>
      </c>
      <c r="B4" s="316"/>
      <c r="C4" s="316"/>
      <c r="D4" s="316"/>
      <c r="E4" s="316"/>
      <c r="F4" s="316"/>
      <c r="G4" s="93"/>
    </row>
    <row r="5" spans="1:7" x14ac:dyDescent="0.25">
      <c r="A5" s="3"/>
      <c r="B5" s="3">
        <v>40</v>
      </c>
      <c r="C5" s="3" t="s">
        <v>136</v>
      </c>
      <c r="D5" s="3"/>
      <c r="E5" s="3"/>
      <c r="F5" s="3"/>
      <c r="G5" s="93"/>
    </row>
    <row r="6" spans="1:7" x14ac:dyDescent="0.25">
      <c r="A6" s="316" t="s">
        <v>173</v>
      </c>
      <c r="B6" s="316"/>
      <c r="C6" s="316"/>
      <c r="D6" s="316"/>
      <c r="E6" s="316"/>
      <c r="F6" s="316"/>
      <c r="G6" s="316"/>
    </row>
    <row r="7" spans="1:7" x14ac:dyDescent="0.25">
      <c r="A7" s="3"/>
      <c r="B7" s="3"/>
      <c r="C7" s="3" t="s">
        <v>136</v>
      </c>
      <c r="D7" s="94"/>
      <c r="E7" s="94"/>
      <c r="F7" s="3"/>
      <c r="G7" s="3"/>
    </row>
    <row r="8" spans="1:7" x14ac:dyDescent="0.25">
      <c r="A8" s="93"/>
      <c r="B8" s="93"/>
      <c r="C8" s="93"/>
      <c r="D8" s="3"/>
      <c r="E8" s="3"/>
      <c r="F8" s="3"/>
      <c r="G8" s="3"/>
    </row>
    <row r="9" spans="1:7" x14ac:dyDescent="0.25">
      <c r="A9" s="404" t="s">
        <v>141</v>
      </c>
      <c r="B9" s="404"/>
      <c r="C9" s="404"/>
      <c r="D9" s="158">
        <f>B3-B5-B7</f>
        <v>1161.515525</v>
      </c>
      <c r="E9" s="159" t="s">
        <v>136</v>
      </c>
      <c r="F9" s="159"/>
      <c r="G9" s="9"/>
    </row>
    <row r="10" spans="1:7" x14ac:dyDescent="0.25">
      <c r="A10" s="93"/>
      <c r="B10" s="93"/>
      <c r="C10" s="93"/>
      <c r="D10" s="93"/>
      <c r="E10" s="93"/>
      <c r="F10" s="93"/>
      <c r="G10" s="93"/>
    </row>
    <row r="11" spans="1:7" x14ac:dyDescent="0.25">
      <c r="A11" s="316" t="s">
        <v>174</v>
      </c>
      <c r="B11" s="316"/>
      <c r="C11" s="3">
        <v>81802.8</v>
      </c>
      <c r="D11" s="3" t="s">
        <v>103</v>
      </c>
      <c r="E11" s="3"/>
      <c r="F11" s="93"/>
      <c r="G11" s="93"/>
    </row>
    <row r="12" spans="1:7" x14ac:dyDescent="0.25">
      <c r="A12" s="93"/>
      <c r="B12" s="93"/>
      <c r="C12" s="93"/>
      <c r="D12" s="93"/>
      <c r="E12" s="93"/>
      <c r="F12" s="93"/>
      <c r="G12" s="93"/>
    </row>
    <row r="13" spans="1:7" x14ac:dyDescent="0.25">
      <c r="A13" s="316" t="s">
        <v>175</v>
      </c>
      <c r="B13" s="316"/>
      <c r="C13" s="316"/>
      <c r="D13" s="316"/>
      <c r="E13" s="316"/>
      <c r="F13" s="3">
        <v>190860</v>
      </c>
      <c r="G13" s="3" t="s">
        <v>103</v>
      </c>
    </row>
    <row r="14" spans="1:7" x14ac:dyDescent="0.25">
      <c r="A14" s="93"/>
      <c r="B14" s="93"/>
      <c r="C14" s="3"/>
      <c r="D14" s="3"/>
      <c r="E14" s="3"/>
      <c r="F14" s="94"/>
      <c r="G14" s="94"/>
    </row>
    <row r="15" spans="1:7" ht="15.75" thickBot="1" x14ac:dyDescent="0.3">
      <c r="A15" s="375" t="s">
        <v>143</v>
      </c>
      <c r="B15" s="373" t="s">
        <v>144</v>
      </c>
      <c r="C15" s="373"/>
      <c r="D15" s="373"/>
      <c r="E15" s="3"/>
      <c r="F15" s="94"/>
      <c r="G15" s="94"/>
    </row>
    <row r="16" spans="1:7" x14ac:dyDescent="0.25">
      <c r="A16" s="375"/>
      <c r="B16" s="374" t="s">
        <v>145</v>
      </c>
      <c r="C16" s="374"/>
      <c r="D16" s="374"/>
      <c r="E16" s="3"/>
      <c r="F16" s="94"/>
      <c r="G16" s="94"/>
    </row>
    <row r="17" spans="1:7" x14ac:dyDescent="0.25">
      <c r="A17" s="99"/>
      <c r="B17" s="100"/>
      <c r="C17" s="100"/>
      <c r="D17" s="100"/>
      <c r="E17" s="3"/>
      <c r="F17" s="94"/>
      <c r="G17" s="94"/>
    </row>
    <row r="18" spans="1:7" ht="15.75" thickBot="1" x14ac:dyDescent="0.3">
      <c r="A18" s="372" t="s">
        <v>146</v>
      </c>
      <c r="B18" s="372"/>
      <c r="C18" s="373" t="s">
        <v>147</v>
      </c>
      <c r="D18" s="373"/>
      <c r="E18" s="373"/>
      <c r="F18" s="94"/>
      <c r="G18" s="94"/>
    </row>
    <row r="19" spans="1:7" x14ac:dyDescent="0.25">
      <c r="A19" s="372"/>
      <c r="B19" s="372"/>
      <c r="C19" s="374" t="s">
        <v>145</v>
      </c>
      <c r="D19" s="374"/>
      <c r="E19" s="374"/>
      <c r="F19" s="94"/>
      <c r="G19" s="94"/>
    </row>
    <row r="20" spans="1:7" x14ac:dyDescent="0.25">
      <c r="A20" s="9"/>
      <c r="B20" s="9"/>
      <c r="C20" s="101"/>
      <c r="D20" s="101"/>
      <c r="E20" s="101"/>
      <c r="F20" s="94"/>
      <c r="G20" s="94"/>
    </row>
    <row r="21" spans="1:7" x14ac:dyDescent="0.25">
      <c r="A21" s="9"/>
      <c r="B21" s="9"/>
      <c r="C21" s="101"/>
      <c r="D21" s="101"/>
      <c r="E21" s="320" t="s">
        <v>13</v>
      </c>
      <c r="F21" s="320"/>
      <c r="G21" s="94"/>
    </row>
    <row r="22" spans="1:7" x14ac:dyDescent="0.25">
      <c r="A22" s="321" t="s">
        <v>148</v>
      </c>
      <c r="B22" s="321"/>
      <c r="C22" s="321"/>
      <c r="D22" s="321"/>
      <c r="E22" s="321"/>
      <c r="F22" s="321"/>
      <c r="G22" s="94"/>
    </row>
    <row r="23" spans="1:7" x14ac:dyDescent="0.25">
      <c r="A23" s="377" t="s">
        <v>149</v>
      </c>
      <c r="B23" s="379" t="s">
        <v>16</v>
      </c>
      <c r="C23" s="380"/>
      <c r="D23" s="380"/>
      <c r="E23" s="381" t="s">
        <v>150</v>
      </c>
      <c r="F23" s="381"/>
      <c r="G23" s="102"/>
    </row>
    <row r="24" spans="1:7" ht="45" x14ac:dyDescent="0.25">
      <c r="A24" s="378"/>
      <c r="B24" s="103" t="s">
        <v>151</v>
      </c>
      <c r="C24" s="103" t="s">
        <v>152</v>
      </c>
      <c r="D24" s="104" t="s">
        <v>153</v>
      </c>
      <c r="E24" s="103" t="s">
        <v>154</v>
      </c>
      <c r="F24" s="103" t="s">
        <v>155</v>
      </c>
      <c r="G24" s="105"/>
    </row>
    <row r="25" spans="1:7" x14ac:dyDescent="0.25">
      <c r="A25" s="106" t="s">
        <v>364</v>
      </c>
      <c r="B25" s="107">
        <f>C11</f>
        <v>81802.8</v>
      </c>
      <c r="C25" s="108">
        <f>F13</f>
        <v>190860</v>
      </c>
      <c r="D25" s="109">
        <f>D9</f>
        <v>1161.515525</v>
      </c>
      <c r="E25" s="108">
        <f>B25/D25</f>
        <v>70.427642368361802</v>
      </c>
      <c r="F25" s="107">
        <f>C25/D25</f>
        <v>164.31980106335644</v>
      </c>
      <c r="G25" s="12"/>
    </row>
    <row r="26" spans="1:7" x14ac:dyDescent="0.25">
      <c r="A26" s="94"/>
      <c r="B26" s="94"/>
      <c r="C26" s="94"/>
      <c r="D26" s="94"/>
      <c r="E26" s="94"/>
      <c r="F26" s="94"/>
      <c r="G26" s="94"/>
    </row>
    <row r="27" spans="1:7" x14ac:dyDescent="0.25">
      <c r="A27" s="94"/>
      <c r="B27" s="94"/>
      <c r="C27" s="94"/>
      <c r="D27" s="94"/>
      <c r="E27" s="94"/>
      <c r="F27" s="94"/>
      <c r="G27" s="94"/>
    </row>
    <row r="28" spans="1:7" x14ac:dyDescent="0.25">
      <c r="A28" s="94"/>
      <c r="B28" s="94"/>
      <c r="C28" s="94"/>
      <c r="D28" s="94"/>
      <c r="E28" s="94"/>
      <c r="F28" s="94"/>
      <c r="G28" s="94"/>
    </row>
    <row r="29" spans="1:7" x14ac:dyDescent="0.25">
      <c r="A29" s="94"/>
      <c r="B29" s="94"/>
      <c r="C29" s="94"/>
      <c r="D29" s="94"/>
      <c r="E29" s="94"/>
      <c r="F29" s="94"/>
      <c r="G29" s="94"/>
    </row>
    <row r="30" spans="1:7" ht="15.75" x14ac:dyDescent="0.25">
      <c r="A30" s="382" t="s">
        <v>56</v>
      </c>
      <c r="B30" s="382"/>
      <c r="C30" s="382"/>
      <c r="D30" s="31"/>
      <c r="E30" s="340" t="s">
        <v>58</v>
      </c>
      <c r="F30" s="340"/>
      <c r="G30" s="340"/>
    </row>
    <row r="31" spans="1:7" ht="15.75" x14ac:dyDescent="0.25">
      <c r="A31" s="376" t="s">
        <v>57</v>
      </c>
      <c r="B31" s="376"/>
      <c r="C31" s="376"/>
      <c r="D31" s="31"/>
      <c r="E31" s="31"/>
      <c r="F31" s="91"/>
      <c r="G31" s="31"/>
    </row>
    <row r="32" spans="1:7" x14ac:dyDescent="0.25">
      <c r="A32" s="94"/>
      <c r="B32" s="94"/>
      <c r="C32" s="94"/>
      <c r="D32" s="94"/>
      <c r="E32" s="94"/>
      <c r="F32" s="94"/>
      <c r="G32" s="94"/>
    </row>
  </sheetData>
  <mergeCells count="21">
    <mergeCell ref="A31:C31"/>
    <mergeCell ref="E21:F21"/>
    <mergeCell ref="A22:F22"/>
    <mergeCell ref="A23:A24"/>
    <mergeCell ref="B23:D23"/>
    <mergeCell ref="E23:F23"/>
    <mergeCell ref="A30:C30"/>
    <mergeCell ref="E30:G30"/>
    <mergeCell ref="A13:E13"/>
    <mergeCell ref="A15:A16"/>
    <mergeCell ref="B15:D15"/>
    <mergeCell ref="B16:D16"/>
    <mergeCell ref="A18:B19"/>
    <mergeCell ref="C18:E18"/>
    <mergeCell ref="C19:E19"/>
    <mergeCell ref="A11:B11"/>
    <mergeCell ref="A1:G1"/>
    <mergeCell ref="A2:F2"/>
    <mergeCell ref="A4:F4"/>
    <mergeCell ref="A6:G6"/>
    <mergeCell ref="A9:C9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1"/>
  <sheetViews>
    <sheetView workbookViewId="0">
      <selection activeCell="J17" sqref="J17"/>
    </sheetView>
  </sheetViews>
  <sheetFormatPr defaultRowHeight="15" x14ac:dyDescent="0.25"/>
  <cols>
    <col min="1" max="1" width="6.140625" customWidth="1"/>
    <col min="2" max="2" width="28.7109375" customWidth="1"/>
    <col min="3" max="3" width="8.85546875" customWidth="1"/>
    <col min="4" max="4" width="13.85546875" customWidth="1"/>
    <col min="5" max="5" width="9.28515625" customWidth="1"/>
    <col min="6" max="6" width="18" customWidth="1"/>
    <col min="7" max="7" width="12" customWidth="1"/>
  </cols>
  <sheetData>
    <row r="1" spans="1:7" ht="15.75" x14ac:dyDescent="0.25">
      <c r="A1" s="113"/>
      <c r="B1" s="113"/>
      <c r="C1" s="113"/>
      <c r="D1" s="144"/>
      <c r="E1" s="113"/>
      <c r="F1" s="117"/>
      <c r="G1" s="115" t="s">
        <v>167</v>
      </c>
    </row>
    <row r="2" spans="1:7" ht="15.75" x14ac:dyDescent="0.25">
      <c r="A2" s="113"/>
      <c r="B2" s="113"/>
      <c r="C2" s="113"/>
      <c r="D2" s="144"/>
      <c r="E2" s="113"/>
      <c r="F2" s="117"/>
      <c r="G2" s="115" t="s">
        <v>61</v>
      </c>
    </row>
    <row r="3" spans="1:7" ht="15.75" x14ac:dyDescent="0.25">
      <c r="A3" s="113"/>
      <c r="B3" s="113"/>
      <c r="C3" s="113"/>
      <c r="D3" s="144"/>
      <c r="E3" s="113"/>
      <c r="F3" s="117"/>
      <c r="G3" s="115" t="s">
        <v>416</v>
      </c>
    </row>
    <row r="4" spans="1:7" ht="15.75" x14ac:dyDescent="0.25">
      <c r="A4" s="113"/>
      <c r="B4" s="113"/>
      <c r="C4" s="113"/>
      <c r="D4" s="144"/>
      <c r="E4" s="113"/>
      <c r="F4" s="117"/>
      <c r="G4" s="115" t="s">
        <v>428</v>
      </c>
    </row>
    <row r="5" spans="1:7" ht="15.75" x14ac:dyDescent="0.25">
      <c r="A5" s="113"/>
      <c r="B5" s="113"/>
      <c r="C5" s="113"/>
      <c r="D5" s="144"/>
      <c r="E5" s="113"/>
      <c r="F5" s="117"/>
      <c r="G5" s="113"/>
    </row>
    <row r="6" spans="1:7" ht="15.75" x14ac:dyDescent="0.25">
      <c r="A6" s="394" t="s">
        <v>98</v>
      </c>
      <c r="B6" s="394"/>
      <c r="C6" s="394"/>
      <c r="D6" s="394"/>
      <c r="E6" s="394"/>
      <c r="F6" s="394"/>
      <c r="G6" s="394"/>
    </row>
    <row r="7" spans="1:7" ht="15.75" x14ac:dyDescent="0.25">
      <c r="A7" s="408" t="s">
        <v>365</v>
      </c>
      <c r="B7" s="408"/>
      <c r="C7" s="408"/>
      <c r="D7" s="408"/>
      <c r="E7" s="408"/>
      <c r="F7" s="408"/>
      <c r="G7" s="408"/>
    </row>
    <row r="8" spans="1:7" x14ac:dyDescent="0.25">
      <c r="A8" s="409" t="s">
        <v>14</v>
      </c>
      <c r="B8" s="411" t="s">
        <v>100</v>
      </c>
      <c r="C8" s="412"/>
      <c r="D8" s="412"/>
      <c r="E8" s="413"/>
      <c r="F8" s="419" t="s">
        <v>101</v>
      </c>
      <c r="G8" s="419"/>
    </row>
    <row r="9" spans="1:7" x14ac:dyDescent="0.25">
      <c r="A9" s="410"/>
      <c r="B9" s="414"/>
      <c r="C9" s="415"/>
      <c r="D9" s="415"/>
      <c r="E9" s="416"/>
      <c r="F9" s="70" t="s">
        <v>102</v>
      </c>
      <c r="G9" s="70" t="s">
        <v>64</v>
      </c>
    </row>
    <row r="10" spans="1:7" ht="15.75" x14ac:dyDescent="0.25">
      <c r="A10" s="118"/>
      <c r="B10" s="118" t="s">
        <v>158</v>
      </c>
      <c r="C10" s="118"/>
      <c r="D10" s="122"/>
      <c r="E10" s="118"/>
      <c r="F10" s="121">
        <v>62.85</v>
      </c>
      <c r="G10" s="122" t="s">
        <v>103</v>
      </c>
    </row>
    <row r="11" spans="1:7" ht="12" customHeight="1" x14ac:dyDescent="0.25">
      <c r="A11" s="118"/>
      <c r="B11" s="118"/>
      <c r="C11" s="118"/>
      <c r="D11" s="122"/>
      <c r="E11" s="118"/>
      <c r="F11" s="121"/>
      <c r="G11" s="122"/>
    </row>
    <row r="12" spans="1:7" ht="15.75" x14ac:dyDescent="0.25">
      <c r="A12" s="118"/>
      <c r="B12" s="118" t="s">
        <v>360</v>
      </c>
      <c r="C12" s="118"/>
      <c r="D12" s="122"/>
      <c r="E12" s="147">
        <v>0.25</v>
      </c>
      <c r="F12" s="121">
        <f>F10*E12</f>
        <v>15.7125</v>
      </c>
      <c r="G12" s="122" t="s">
        <v>103</v>
      </c>
    </row>
    <row r="13" spans="1:7" ht="12" customHeight="1" x14ac:dyDescent="0.25">
      <c r="A13" s="118"/>
      <c r="B13" s="118"/>
      <c r="C13" s="118"/>
      <c r="D13" s="122"/>
      <c r="E13" s="118"/>
      <c r="F13" s="121"/>
      <c r="G13" s="122"/>
    </row>
    <row r="14" spans="1:7" ht="15.75" x14ac:dyDescent="0.25">
      <c r="A14" s="118"/>
      <c r="B14" s="118" t="s">
        <v>105</v>
      </c>
      <c r="C14" s="118"/>
      <c r="D14" s="122"/>
      <c r="E14" s="147">
        <v>0.1</v>
      </c>
      <c r="F14" s="121">
        <f>F10*E14</f>
        <v>6.2850000000000001</v>
      </c>
      <c r="G14" s="122" t="s">
        <v>103</v>
      </c>
    </row>
    <row r="15" spans="1:7" ht="12" customHeight="1" x14ac:dyDescent="0.25">
      <c r="A15" s="118"/>
      <c r="B15" s="118"/>
      <c r="C15" s="118"/>
      <c r="D15" s="122"/>
      <c r="E15" s="118"/>
      <c r="F15" s="121"/>
      <c r="G15" s="122"/>
    </row>
    <row r="16" spans="1:7" ht="15.75" x14ac:dyDescent="0.25">
      <c r="A16" s="118"/>
      <c r="B16" s="118" t="s">
        <v>106</v>
      </c>
      <c r="C16" s="118"/>
      <c r="D16" s="122"/>
      <c r="E16" s="147">
        <v>0.4</v>
      </c>
      <c r="F16" s="121">
        <f>F10*E16</f>
        <v>25.14</v>
      </c>
      <c r="G16" s="122" t="s">
        <v>103</v>
      </c>
    </row>
    <row r="17" spans="1:7" ht="12" customHeight="1" x14ac:dyDescent="0.25">
      <c r="A17" s="118"/>
      <c r="B17" s="118"/>
      <c r="C17" s="118"/>
      <c r="D17" s="122"/>
      <c r="E17" s="147"/>
      <c r="F17" s="121"/>
      <c r="G17" s="122"/>
    </row>
    <row r="18" spans="1:7" ht="15.75" x14ac:dyDescent="0.25">
      <c r="A18" s="118"/>
      <c r="B18" s="118" t="s">
        <v>107</v>
      </c>
      <c r="C18" s="118"/>
      <c r="D18" s="122"/>
      <c r="E18" s="118"/>
      <c r="F18" s="121">
        <v>60</v>
      </c>
      <c r="G18" s="122" t="s">
        <v>108</v>
      </c>
    </row>
    <row r="19" spans="1:7" ht="12" customHeight="1" x14ac:dyDescent="0.25">
      <c r="A19" s="118"/>
      <c r="B19" s="118"/>
      <c r="C19" s="118"/>
      <c r="D19" s="122"/>
      <c r="E19" s="118"/>
      <c r="F19" s="121"/>
      <c r="G19" s="118"/>
    </row>
    <row r="20" spans="1:7" ht="15.75" x14ac:dyDescent="0.25">
      <c r="A20" s="126">
        <v>1</v>
      </c>
      <c r="B20" s="127" t="s">
        <v>109</v>
      </c>
      <c r="C20" s="127"/>
      <c r="D20" s="126"/>
      <c r="E20" s="127"/>
      <c r="F20" s="130">
        <f>F10+F12+F14+F16</f>
        <v>109.9875</v>
      </c>
      <c r="G20" s="126" t="s">
        <v>103</v>
      </c>
    </row>
    <row r="21" spans="1:7" ht="12" customHeight="1" x14ac:dyDescent="0.25">
      <c r="A21" s="122"/>
      <c r="B21" s="118"/>
      <c r="C21" s="118"/>
      <c r="D21" s="122"/>
      <c r="E21" s="118"/>
      <c r="F21" s="121"/>
      <c r="G21" s="122"/>
    </row>
    <row r="22" spans="1:7" ht="15.75" x14ac:dyDescent="0.25">
      <c r="A22" s="126">
        <v>2</v>
      </c>
      <c r="B22" s="127" t="s">
        <v>110</v>
      </c>
      <c r="C22" s="127"/>
      <c r="D22" s="126"/>
      <c r="E22" s="148">
        <v>0.30199999999999999</v>
      </c>
      <c r="F22" s="130">
        <f>E22*F20</f>
        <v>33.216225000000001</v>
      </c>
      <c r="G22" s="126" t="s">
        <v>103</v>
      </c>
    </row>
    <row r="23" spans="1:7" ht="12" customHeight="1" x14ac:dyDescent="0.25">
      <c r="A23" s="122"/>
      <c r="B23" s="118"/>
      <c r="C23" s="118"/>
      <c r="D23" s="122"/>
      <c r="E23" s="147"/>
      <c r="F23" s="121"/>
      <c r="G23" s="122"/>
    </row>
    <row r="24" spans="1:7" ht="15.75" x14ac:dyDescent="0.25">
      <c r="A24" s="126">
        <v>3</v>
      </c>
      <c r="B24" s="127" t="s">
        <v>111</v>
      </c>
      <c r="C24" s="127"/>
      <c r="D24" s="126" t="s">
        <v>160</v>
      </c>
      <c r="E24" s="148"/>
      <c r="F24" s="130">
        <v>0</v>
      </c>
      <c r="G24" s="126" t="s">
        <v>103</v>
      </c>
    </row>
    <row r="25" spans="1:7" ht="12" customHeight="1" x14ac:dyDescent="0.25">
      <c r="A25" s="122"/>
      <c r="B25" s="118"/>
      <c r="C25" s="118"/>
      <c r="D25" s="122"/>
      <c r="E25" s="147"/>
      <c r="F25" s="121"/>
      <c r="G25" s="122"/>
    </row>
    <row r="26" spans="1:7" ht="15.75" x14ac:dyDescent="0.25">
      <c r="A26" s="126">
        <v>4</v>
      </c>
      <c r="B26" s="127" t="s">
        <v>113</v>
      </c>
      <c r="C26" s="127"/>
      <c r="D26" s="126"/>
      <c r="E26" s="148"/>
      <c r="F26" s="130">
        <f>127.12</f>
        <v>127.12</v>
      </c>
      <c r="G26" s="126" t="s">
        <v>103</v>
      </c>
    </row>
    <row r="27" spans="1:7" ht="12" customHeight="1" x14ac:dyDescent="0.25">
      <c r="A27" s="122"/>
      <c r="B27" s="118"/>
      <c r="C27" s="118"/>
      <c r="D27" s="122"/>
      <c r="E27" s="147"/>
      <c r="F27" s="121"/>
      <c r="G27" s="122"/>
    </row>
    <row r="28" spans="1:7" ht="15.75" x14ac:dyDescent="0.25">
      <c r="A28" s="126">
        <v>5</v>
      </c>
      <c r="B28" s="127" t="s">
        <v>161</v>
      </c>
      <c r="C28" s="127"/>
      <c r="D28" s="126"/>
      <c r="E28" s="130"/>
      <c r="F28" s="133">
        <v>9.9499999999999993</v>
      </c>
      <c r="G28" s="122" t="s">
        <v>116</v>
      </c>
    </row>
    <row r="29" spans="1:7" ht="15.75" x14ac:dyDescent="0.25">
      <c r="A29" s="122"/>
      <c r="B29" s="118"/>
      <c r="C29" s="149" t="s">
        <v>366</v>
      </c>
      <c r="D29" s="122"/>
      <c r="E29" s="117">
        <v>34.54</v>
      </c>
      <c r="F29" s="135">
        <f>F28*E29</f>
        <v>343.67299999999994</v>
      </c>
      <c r="G29" s="126" t="s">
        <v>103</v>
      </c>
    </row>
    <row r="30" spans="1:7" ht="12" customHeight="1" x14ac:dyDescent="0.25">
      <c r="A30" s="122"/>
      <c r="B30" s="118"/>
      <c r="C30" s="118"/>
      <c r="D30" s="122"/>
      <c r="E30" s="121"/>
      <c r="F30" s="121"/>
      <c r="G30" s="122"/>
    </row>
    <row r="31" spans="1:7" ht="15.75" x14ac:dyDescent="0.25">
      <c r="A31" s="126">
        <v>6</v>
      </c>
      <c r="B31" s="127" t="s">
        <v>117</v>
      </c>
      <c r="C31" s="127"/>
      <c r="D31" s="126"/>
      <c r="E31" s="130"/>
      <c r="F31" s="130"/>
      <c r="G31" s="126"/>
    </row>
    <row r="32" spans="1:7" ht="15.75" x14ac:dyDescent="0.25">
      <c r="A32" s="122"/>
      <c r="B32" s="118" t="s">
        <v>118</v>
      </c>
      <c r="C32" s="211">
        <v>3.2000000000000001E-2</v>
      </c>
      <c r="D32" s="187" t="s">
        <v>119</v>
      </c>
      <c r="E32" s="167">
        <v>142.72999999999999</v>
      </c>
      <c r="F32" s="121">
        <f>C32*$F$28*E32</f>
        <v>45.44523199999999</v>
      </c>
      <c r="G32" s="122" t="s">
        <v>103</v>
      </c>
    </row>
    <row r="33" spans="1:7" ht="15.75" x14ac:dyDescent="0.25">
      <c r="A33" s="122"/>
      <c r="B33" s="118" t="s">
        <v>120</v>
      </c>
      <c r="C33" s="211">
        <v>4.0000000000000001E-3</v>
      </c>
      <c r="D33" s="189" t="s">
        <v>121</v>
      </c>
      <c r="E33" s="167">
        <v>88.65</v>
      </c>
      <c r="F33" s="121">
        <f>C33*$F$28*E33</f>
        <v>3.5282699999999996</v>
      </c>
      <c r="G33" s="122" t="s">
        <v>103</v>
      </c>
    </row>
    <row r="34" spans="1:7" ht="15.75" x14ac:dyDescent="0.25">
      <c r="A34" s="122"/>
      <c r="B34" s="118" t="s">
        <v>122</v>
      </c>
      <c r="C34" s="211">
        <v>1E-3</v>
      </c>
      <c r="D34" s="189" t="s">
        <v>121</v>
      </c>
      <c r="E34" s="167">
        <v>56.75</v>
      </c>
      <c r="F34" s="121">
        <f>C34*$F$28*E34</f>
        <v>0.56466249999999996</v>
      </c>
      <c r="G34" s="122" t="s">
        <v>103</v>
      </c>
    </row>
    <row r="35" spans="1:7" ht="15.75" x14ac:dyDescent="0.25">
      <c r="A35" s="122"/>
      <c r="B35" s="118" t="s">
        <v>123</v>
      </c>
      <c r="C35" s="213">
        <v>3.0000000000000001E-3</v>
      </c>
      <c r="D35" s="190" t="s">
        <v>121</v>
      </c>
      <c r="E35" s="167">
        <v>100.17</v>
      </c>
      <c r="F35" s="121">
        <f>C35*$F$28*E35</f>
        <v>2.9900745</v>
      </c>
      <c r="G35" s="122" t="s">
        <v>103</v>
      </c>
    </row>
    <row r="36" spans="1:7" ht="15.75" x14ac:dyDescent="0.25">
      <c r="A36" s="122"/>
      <c r="B36" s="118" t="s">
        <v>124</v>
      </c>
      <c r="C36" s="127"/>
      <c r="D36" s="191"/>
      <c r="E36" s="130"/>
      <c r="F36" s="130">
        <f>SUM(F32:F35)</f>
        <v>52.528238999999985</v>
      </c>
      <c r="G36" s="122" t="s">
        <v>103</v>
      </c>
    </row>
    <row r="37" spans="1:7" ht="12" customHeight="1" x14ac:dyDescent="0.25">
      <c r="A37" s="122"/>
      <c r="B37" s="118"/>
      <c r="C37" s="118"/>
      <c r="D37" s="122"/>
      <c r="E37" s="147"/>
      <c r="F37" s="121"/>
      <c r="G37" s="122"/>
    </row>
    <row r="38" spans="1:7" ht="15.75" x14ac:dyDescent="0.25">
      <c r="A38" s="126">
        <v>7</v>
      </c>
      <c r="B38" s="127" t="s">
        <v>125</v>
      </c>
      <c r="C38" s="127"/>
      <c r="D38" s="126"/>
      <c r="E38" s="148">
        <v>0.62</v>
      </c>
      <c r="F38" s="130">
        <f>F20*E38</f>
        <v>68.192250000000001</v>
      </c>
      <c r="G38" s="126" t="s">
        <v>103</v>
      </c>
    </row>
    <row r="39" spans="1:7" ht="12" customHeight="1" x14ac:dyDescent="0.25">
      <c r="A39" s="122"/>
      <c r="B39" s="118"/>
      <c r="C39" s="118"/>
      <c r="D39" s="122"/>
      <c r="E39" s="147"/>
      <c r="F39" s="121"/>
      <c r="G39" s="122"/>
    </row>
    <row r="40" spans="1:7" ht="15.75" x14ac:dyDescent="0.25">
      <c r="A40" s="126">
        <v>8</v>
      </c>
      <c r="B40" s="127" t="s">
        <v>126</v>
      </c>
      <c r="C40" s="127"/>
      <c r="D40" s="126"/>
      <c r="E40" s="148"/>
      <c r="F40" s="130">
        <f>F20+F22+F24+F26+F29+F36+F38</f>
        <v>734.71721400000001</v>
      </c>
      <c r="G40" s="126" t="s">
        <v>103</v>
      </c>
    </row>
    <row r="41" spans="1:7" ht="12" customHeight="1" x14ac:dyDescent="0.25">
      <c r="A41" s="126"/>
      <c r="B41" s="127"/>
      <c r="C41" s="127"/>
      <c r="D41" s="126"/>
      <c r="E41" s="148"/>
      <c r="F41" s="130"/>
      <c r="G41" s="126"/>
    </row>
    <row r="42" spans="1:7" ht="15.75" x14ac:dyDescent="0.25">
      <c r="A42" s="126">
        <v>9</v>
      </c>
      <c r="B42" s="127" t="s">
        <v>127</v>
      </c>
      <c r="C42" s="127"/>
      <c r="D42" s="126"/>
      <c r="E42" s="148"/>
      <c r="F42" s="130"/>
      <c r="G42" s="126"/>
    </row>
    <row r="43" spans="1:7" ht="15.75" x14ac:dyDescent="0.25">
      <c r="A43" s="122"/>
      <c r="B43" s="118" t="s">
        <v>128</v>
      </c>
      <c r="C43" s="118"/>
      <c r="D43" s="122"/>
      <c r="E43" s="147">
        <v>0.1</v>
      </c>
      <c r="F43" s="121">
        <f>F40*E43</f>
        <v>73.471721400000007</v>
      </c>
      <c r="G43" s="122" t="s">
        <v>103</v>
      </c>
    </row>
    <row r="44" spans="1:7" ht="15.75" x14ac:dyDescent="0.25">
      <c r="A44" s="122"/>
      <c r="B44" s="118" t="s">
        <v>129</v>
      </c>
      <c r="C44" s="118"/>
      <c r="D44" s="122"/>
      <c r="E44" s="147">
        <v>0.15</v>
      </c>
      <c r="F44" s="121">
        <f>F40*E44</f>
        <v>110.2075821</v>
      </c>
      <c r="G44" s="122" t="s">
        <v>103</v>
      </c>
    </row>
    <row r="45" spans="1:7" ht="12" customHeight="1" x14ac:dyDescent="0.25">
      <c r="A45" s="122"/>
      <c r="B45" s="118"/>
      <c r="C45" s="118"/>
      <c r="D45" s="122"/>
      <c r="E45" s="147"/>
      <c r="F45" s="121"/>
      <c r="G45" s="122"/>
    </row>
    <row r="46" spans="1:7" ht="15.75" x14ac:dyDescent="0.25">
      <c r="A46" s="126">
        <v>10</v>
      </c>
      <c r="B46" s="127" t="s">
        <v>130</v>
      </c>
      <c r="C46" s="127"/>
      <c r="D46" s="126"/>
      <c r="E46" s="148"/>
      <c r="F46" s="130"/>
      <c r="G46" s="126"/>
    </row>
    <row r="47" spans="1:7" ht="15.75" x14ac:dyDescent="0.25">
      <c r="A47" s="122"/>
      <c r="B47" s="118" t="s">
        <v>128</v>
      </c>
      <c r="C47" s="118"/>
      <c r="D47" s="122"/>
      <c r="E47" s="147"/>
      <c r="F47" s="130">
        <f>F40+F43</f>
        <v>808.18893539999999</v>
      </c>
      <c r="G47" s="126" t="s">
        <v>103</v>
      </c>
    </row>
    <row r="48" spans="1:7" ht="15.75" x14ac:dyDescent="0.25">
      <c r="A48" s="122"/>
      <c r="B48" s="118" t="s">
        <v>129</v>
      </c>
      <c r="C48" s="118"/>
      <c r="D48" s="122"/>
      <c r="E48" s="147"/>
      <c r="F48" s="130">
        <f>F40+F44</f>
        <v>844.92479609999998</v>
      </c>
      <c r="G48" s="126" t="s">
        <v>103</v>
      </c>
    </row>
    <row r="49" spans="1:7" ht="15.75" x14ac:dyDescent="0.25">
      <c r="A49" s="113"/>
      <c r="B49" s="113"/>
      <c r="C49" s="113"/>
      <c r="D49" s="144"/>
      <c r="E49" s="113"/>
      <c r="F49" s="117"/>
      <c r="G49" s="172"/>
    </row>
    <row r="50" spans="1:7" ht="15.75" x14ac:dyDescent="0.25">
      <c r="A50" s="31"/>
      <c r="B50" s="90" t="s">
        <v>56</v>
      </c>
      <c r="C50" s="90"/>
      <c r="D50" s="90"/>
      <c r="E50" s="31"/>
      <c r="F50" s="67" t="s">
        <v>58</v>
      </c>
      <c r="G50" s="31"/>
    </row>
    <row r="51" spans="1:7" ht="15.75" x14ac:dyDescent="0.25">
      <c r="A51" s="31"/>
      <c r="B51" s="91" t="s">
        <v>57</v>
      </c>
      <c r="C51" s="90"/>
      <c r="D51" s="90"/>
      <c r="E51" s="31"/>
      <c r="F51" s="42"/>
      <c r="G51" s="31"/>
    </row>
  </sheetData>
  <mergeCells count="5">
    <mergeCell ref="A6:G6"/>
    <mergeCell ref="A7:G7"/>
    <mergeCell ref="A8:A9"/>
    <mergeCell ref="B8:E9"/>
    <mergeCell ref="F8:G8"/>
  </mergeCells>
  <pageMargins left="0.25" right="0.25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7"/>
  <sheetViews>
    <sheetView topLeftCell="A34" workbookViewId="0">
      <selection activeCell="D62" sqref="D62"/>
    </sheetView>
  </sheetViews>
  <sheetFormatPr defaultRowHeight="15" x14ac:dyDescent="0.25"/>
  <cols>
    <col min="1" max="1" width="6.140625" customWidth="1"/>
    <col min="2" max="2" width="28.7109375" customWidth="1"/>
    <col min="3" max="3" width="8.85546875" customWidth="1"/>
    <col min="4" max="4" width="13.85546875" customWidth="1"/>
    <col min="5" max="5" width="9.28515625" customWidth="1"/>
    <col min="6" max="6" width="15.85546875" customWidth="1"/>
  </cols>
  <sheetData>
    <row r="1" spans="1:7" ht="15.75" x14ac:dyDescent="0.25">
      <c r="A1" s="113"/>
      <c r="B1" s="113"/>
      <c r="C1" s="113"/>
      <c r="D1" s="144"/>
      <c r="E1" s="113"/>
      <c r="F1" s="117"/>
      <c r="G1" s="115" t="s">
        <v>167</v>
      </c>
    </row>
    <row r="2" spans="1:7" ht="15.75" x14ac:dyDescent="0.25">
      <c r="A2" s="113"/>
      <c r="B2" s="113"/>
      <c r="C2" s="113"/>
      <c r="D2" s="144"/>
      <c r="E2" s="113"/>
      <c r="F2" s="117"/>
      <c r="G2" s="115" t="s">
        <v>61</v>
      </c>
    </row>
    <row r="3" spans="1:7" ht="15.75" x14ac:dyDescent="0.25">
      <c r="A3" s="113"/>
      <c r="B3" s="113"/>
      <c r="C3" s="113"/>
      <c r="D3" s="144"/>
      <c r="E3" s="113"/>
      <c r="F3" s="117"/>
      <c r="G3" s="115" t="s">
        <v>416</v>
      </c>
    </row>
    <row r="4" spans="1:7" ht="15.75" x14ac:dyDescent="0.25">
      <c r="A4" s="113"/>
      <c r="B4" s="113"/>
      <c r="C4" s="113"/>
      <c r="D4" s="144"/>
      <c r="E4" s="113"/>
      <c r="F4" s="117"/>
      <c r="G4" s="115" t="s">
        <v>429</v>
      </c>
    </row>
    <row r="5" spans="1:7" ht="15.75" x14ac:dyDescent="0.25">
      <c r="A5" s="113"/>
      <c r="B5" s="113"/>
      <c r="C5" s="113"/>
      <c r="D5" s="144"/>
      <c r="E5" s="113"/>
      <c r="F5" s="117"/>
      <c r="G5" s="113"/>
    </row>
    <row r="6" spans="1:7" ht="15.75" x14ac:dyDescent="0.25">
      <c r="A6" s="394" t="s">
        <v>98</v>
      </c>
      <c r="B6" s="394"/>
      <c r="C6" s="394"/>
      <c r="D6" s="394"/>
      <c r="E6" s="394"/>
      <c r="F6" s="394"/>
      <c r="G6" s="394"/>
    </row>
    <row r="7" spans="1:7" ht="15.75" x14ac:dyDescent="0.25">
      <c r="A7" s="408" t="s">
        <v>367</v>
      </c>
      <c r="B7" s="408"/>
      <c r="C7" s="408"/>
      <c r="D7" s="408"/>
      <c r="E7" s="408"/>
      <c r="F7" s="408"/>
      <c r="G7" s="408"/>
    </row>
    <row r="8" spans="1:7" x14ac:dyDescent="0.25">
      <c r="A8" s="409" t="s">
        <v>14</v>
      </c>
      <c r="B8" s="411" t="s">
        <v>100</v>
      </c>
      <c r="C8" s="412"/>
      <c r="D8" s="412"/>
      <c r="E8" s="413"/>
      <c r="F8" s="419" t="s">
        <v>101</v>
      </c>
      <c r="G8" s="419"/>
    </row>
    <row r="9" spans="1:7" x14ac:dyDescent="0.25">
      <c r="A9" s="410"/>
      <c r="B9" s="414"/>
      <c r="C9" s="415"/>
      <c r="D9" s="415"/>
      <c r="E9" s="416"/>
      <c r="F9" s="70" t="s">
        <v>102</v>
      </c>
      <c r="G9" s="70" t="s">
        <v>64</v>
      </c>
    </row>
    <row r="10" spans="1:7" ht="15.75" x14ac:dyDescent="0.25">
      <c r="A10" s="118"/>
      <c r="B10" s="118" t="s">
        <v>158</v>
      </c>
      <c r="C10" s="118"/>
      <c r="D10" s="122"/>
      <c r="E10" s="118"/>
      <c r="F10" s="121">
        <v>62.85</v>
      </c>
      <c r="G10" s="122" t="s">
        <v>103</v>
      </c>
    </row>
    <row r="11" spans="1:7" ht="4.5" customHeight="1" x14ac:dyDescent="0.25">
      <c r="A11" s="118"/>
      <c r="B11" s="118"/>
      <c r="C11" s="118"/>
      <c r="D11" s="122"/>
      <c r="E11" s="118"/>
      <c r="F11" s="121"/>
      <c r="G11" s="122"/>
    </row>
    <row r="12" spans="1:7" ht="15.75" x14ac:dyDescent="0.25">
      <c r="A12" s="118"/>
      <c r="B12" s="118" t="s">
        <v>360</v>
      </c>
      <c r="C12" s="118"/>
      <c r="D12" s="122"/>
      <c r="E12" s="147">
        <v>0.25</v>
      </c>
      <c r="F12" s="121">
        <f>F10*E12</f>
        <v>15.7125</v>
      </c>
      <c r="G12" s="122" t="s">
        <v>103</v>
      </c>
    </row>
    <row r="13" spans="1:7" ht="4.5" customHeight="1" x14ac:dyDescent="0.25">
      <c r="A13" s="118"/>
      <c r="B13" s="118"/>
      <c r="C13" s="118"/>
      <c r="D13" s="122"/>
      <c r="E13" s="118"/>
      <c r="F13" s="121"/>
      <c r="G13" s="122"/>
    </row>
    <row r="14" spans="1:7" ht="15.75" x14ac:dyDescent="0.25">
      <c r="A14" s="118"/>
      <c r="B14" s="118" t="s">
        <v>105</v>
      </c>
      <c r="C14" s="118"/>
      <c r="D14" s="122"/>
      <c r="E14" s="147">
        <v>0.1</v>
      </c>
      <c r="F14" s="121">
        <f>F10*E14</f>
        <v>6.2850000000000001</v>
      </c>
      <c r="G14" s="122" t="s">
        <v>103</v>
      </c>
    </row>
    <row r="15" spans="1:7" ht="4.5" customHeight="1" x14ac:dyDescent="0.25">
      <c r="A15" s="118"/>
      <c r="B15" s="118"/>
      <c r="C15" s="118"/>
      <c r="D15" s="122"/>
      <c r="E15" s="118"/>
      <c r="F15" s="121"/>
      <c r="G15" s="122"/>
    </row>
    <row r="16" spans="1:7" ht="15.75" x14ac:dyDescent="0.25">
      <c r="A16" s="118"/>
      <c r="B16" s="118" t="s">
        <v>106</v>
      </c>
      <c r="C16" s="118"/>
      <c r="D16" s="122"/>
      <c r="E16" s="147">
        <v>0.4</v>
      </c>
      <c r="F16" s="121">
        <f>F10*E16</f>
        <v>25.14</v>
      </c>
      <c r="G16" s="122" t="s">
        <v>103</v>
      </c>
    </row>
    <row r="17" spans="1:7" ht="4.5" customHeight="1" x14ac:dyDescent="0.25">
      <c r="A17" s="118"/>
      <c r="B17" s="118"/>
      <c r="C17" s="118"/>
      <c r="D17" s="122"/>
      <c r="E17" s="147"/>
      <c r="F17" s="121"/>
      <c r="G17" s="122"/>
    </row>
    <row r="18" spans="1:7" ht="15.75" x14ac:dyDescent="0.25">
      <c r="A18" s="118"/>
      <c r="B18" s="118" t="s">
        <v>107</v>
      </c>
      <c r="C18" s="118"/>
      <c r="D18" s="122"/>
      <c r="E18" s="118"/>
      <c r="F18" s="121">
        <v>60</v>
      </c>
      <c r="G18" s="122" t="s">
        <v>108</v>
      </c>
    </row>
    <row r="19" spans="1:7" ht="4.5" customHeight="1" x14ac:dyDescent="0.25">
      <c r="A19" s="118"/>
      <c r="B19" s="118"/>
      <c r="C19" s="118"/>
      <c r="D19" s="122"/>
      <c r="E19" s="118"/>
      <c r="F19" s="121"/>
      <c r="G19" s="118"/>
    </row>
    <row r="20" spans="1:7" ht="15.75" x14ac:dyDescent="0.25">
      <c r="A20" s="126">
        <v>1</v>
      </c>
      <c r="B20" s="127" t="s">
        <v>109</v>
      </c>
      <c r="C20" s="127"/>
      <c r="D20" s="126"/>
      <c r="E20" s="127"/>
      <c r="F20" s="130">
        <f>F10+F12+F14+F16</f>
        <v>109.9875</v>
      </c>
      <c r="G20" s="126" t="s">
        <v>103</v>
      </c>
    </row>
    <row r="21" spans="1:7" ht="4.5" customHeight="1" x14ac:dyDescent="0.25">
      <c r="A21" s="122"/>
      <c r="B21" s="118"/>
      <c r="C21" s="118"/>
      <c r="D21" s="122"/>
      <c r="E21" s="118"/>
      <c r="F21" s="121"/>
      <c r="G21" s="122"/>
    </row>
    <row r="22" spans="1:7" ht="15.75" x14ac:dyDescent="0.25">
      <c r="A22" s="126">
        <v>2</v>
      </c>
      <c r="B22" s="127" t="s">
        <v>110</v>
      </c>
      <c r="C22" s="127"/>
      <c r="D22" s="126"/>
      <c r="E22" s="148">
        <v>0.30199999999999999</v>
      </c>
      <c r="F22" s="130">
        <f>E22*F20</f>
        <v>33.216225000000001</v>
      </c>
      <c r="G22" s="126" t="s">
        <v>103</v>
      </c>
    </row>
    <row r="23" spans="1:7" ht="4.5" customHeight="1" x14ac:dyDescent="0.25">
      <c r="A23" s="122"/>
      <c r="B23" s="118"/>
      <c r="C23" s="118"/>
      <c r="D23" s="122"/>
      <c r="E23" s="147"/>
      <c r="F23" s="121"/>
      <c r="G23" s="122"/>
    </row>
    <row r="24" spans="1:7" ht="15.75" x14ac:dyDescent="0.25">
      <c r="A24" s="126">
        <v>3</v>
      </c>
      <c r="B24" s="127" t="s">
        <v>111</v>
      </c>
      <c r="C24" s="127"/>
      <c r="D24" s="126" t="s">
        <v>160</v>
      </c>
      <c r="E24" s="148"/>
      <c r="F24" s="130">
        <v>0</v>
      </c>
      <c r="G24" s="126" t="s">
        <v>103</v>
      </c>
    </row>
    <row r="25" spans="1:7" ht="4.5" customHeight="1" x14ac:dyDescent="0.25">
      <c r="A25" s="122"/>
      <c r="B25" s="118"/>
      <c r="C25" s="118"/>
      <c r="D25" s="122"/>
      <c r="E25" s="147"/>
      <c r="F25" s="121"/>
      <c r="G25" s="122"/>
    </row>
    <row r="26" spans="1:7" ht="15.75" x14ac:dyDescent="0.25">
      <c r="A26" s="126">
        <v>4</v>
      </c>
      <c r="B26" s="127" t="s">
        <v>368</v>
      </c>
      <c r="C26" s="118"/>
      <c r="D26" s="122"/>
      <c r="E26" s="147"/>
      <c r="F26" s="130">
        <f>F27+F28+F29</f>
        <v>748.4620000000001</v>
      </c>
      <c r="G26" s="122" t="s">
        <v>289</v>
      </c>
    </row>
    <row r="27" spans="1:7" ht="15.75" x14ac:dyDescent="0.25">
      <c r="A27" s="122"/>
      <c r="B27" s="118" t="s">
        <v>369</v>
      </c>
      <c r="C27" s="118"/>
      <c r="D27" s="122"/>
      <c r="E27" s="147"/>
      <c r="F27" s="121">
        <f>1.3*265.34</f>
        <v>344.94200000000001</v>
      </c>
      <c r="G27" s="122" t="s">
        <v>289</v>
      </c>
    </row>
    <row r="28" spans="1:7" ht="15.75" x14ac:dyDescent="0.25">
      <c r="A28" s="122"/>
      <c r="B28" s="118" t="s">
        <v>370</v>
      </c>
      <c r="C28" s="118"/>
      <c r="D28" s="122"/>
      <c r="E28" s="147"/>
      <c r="F28" s="121">
        <f>1.3*133.4</f>
        <v>173.42000000000002</v>
      </c>
      <c r="G28" s="122" t="s">
        <v>289</v>
      </c>
    </row>
    <row r="29" spans="1:7" ht="15.75" x14ac:dyDescent="0.25">
      <c r="A29" s="122"/>
      <c r="B29" s="118" t="s">
        <v>371</v>
      </c>
      <c r="C29" s="118"/>
      <c r="D29" s="122"/>
      <c r="E29" s="147"/>
      <c r="F29" s="121">
        <f>1.3*177</f>
        <v>230.1</v>
      </c>
      <c r="G29" s="122" t="s">
        <v>289</v>
      </c>
    </row>
    <row r="30" spans="1:7" ht="4.5" customHeight="1" x14ac:dyDescent="0.25">
      <c r="A30" s="122"/>
      <c r="B30" s="118"/>
      <c r="C30" s="118"/>
      <c r="D30" s="122"/>
      <c r="E30" s="147"/>
      <c r="F30" s="121"/>
      <c r="G30" s="122"/>
    </row>
    <row r="31" spans="1:7" ht="15.75" x14ac:dyDescent="0.25">
      <c r="A31" s="126">
        <v>5</v>
      </c>
      <c r="B31" s="127" t="s">
        <v>113</v>
      </c>
      <c r="C31" s="127"/>
      <c r="D31" s="126"/>
      <c r="E31" s="148"/>
      <c r="F31" s="130">
        <v>127.12</v>
      </c>
      <c r="G31" s="126" t="s">
        <v>103</v>
      </c>
    </row>
    <row r="32" spans="1:7" ht="4.5" customHeight="1" x14ac:dyDescent="0.25">
      <c r="A32" s="122"/>
      <c r="B32" s="118"/>
      <c r="C32" s="118"/>
      <c r="D32" s="122"/>
      <c r="E32" s="147"/>
      <c r="F32" s="121"/>
      <c r="G32" s="122"/>
    </row>
    <row r="33" spans="1:7" ht="15.75" x14ac:dyDescent="0.25">
      <c r="A33" s="126">
        <v>6</v>
      </c>
      <c r="B33" s="127" t="s">
        <v>161</v>
      </c>
      <c r="C33" s="127"/>
      <c r="D33" s="126"/>
      <c r="E33" s="130"/>
      <c r="F33" s="133">
        <v>9.9499999999999993</v>
      </c>
      <c r="G33" s="122" t="s">
        <v>116</v>
      </c>
    </row>
    <row r="34" spans="1:7" ht="15.75" x14ac:dyDescent="0.25">
      <c r="A34" s="122"/>
      <c r="B34" s="118"/>
      <c r="C34" s="149" t="s">
        <v>366</v>
      </c>
      <c r="D34" s="122"/>
      <c r="E34" s="117">
        <v>34.54</v>
      </c>
      <c r="F34" s="135">
        <f>F33*E34</f>
        <v>343.67299999999994</v>
      </c>
      <c r="G34" s="126" t="s">
        <v>103</v>
      </c>
    </row>
    <row r="35" spans="1:7" ht="4.5" customHeight="1" x14ac:dyDescent="0.25">
      <c r="A35" s="122"/>
      <c r="B35" s="118"/>
      <c r="C35" s="118"/>
      <c r="D35" s="122"/>
      <c r="E35" s="121"/>
      <c r="F35" s="121"/>
      <c r="G35" s="122"/>
    </row>
    <row r="36" spans="1:7" ht="15.75" x14ac:dyDescent="0.25">
      <c r="A36" s="126">
        <v>7</v>
      </c>
      <c r="B36" s="127" t="s">
        <v>117</v>
      </c>
      <c r="C36" s="127"/>
      <c r="D36" s="126"/>
      <c r="E36" s="130"/>
      <c r="F36" s="130"/>
      <c r="G36" s="126"/>
    </row>
    <row r="37" spans="1:7" ht="15.75" x14ac:dyDescent="0.25">
      <c r="A37" s="122"/>
      <c r="B37" s="118" t="s">
        <v>118</v>
      </c>
      <c r="C37" s="211">
        <v>3.2000000000000001E-2</v>
      </c>
      <c r="D37" s="187" t="s">
        <v>119</v>
      </c>
      <c r="E37" s="167">
        <v>142.72999999999999</v>
      </c>
      <c r="F37" s="121">
        <f>C37*$F$33*E37</f>
        <v>45.44523199999999</v>
      </c>
      <c r="G37" s="122" t="s">
        <v>103</v>
      </c>
    </row>
    <row r="38" spans="1:7" ht="15.75" x14ac:dyDescent="0.25">
      <c r="A38" s="122"/>
      <c r="B38" s="118" t="s">
        <v>120</v>
      </c>
      <c r="C38" s="211">
        <v>4.0000000000000001E-3</v>
      </c>
      <c r="D38" s="189" t="s">
        <v>121</v>
      </c>
      <c r="E38" s="167">
        <v>88.65</v>
      </c>
      <c r="F38" s="121">
        <f>C38*$F$33*E38</f>
        <v>3.5282699999999996</v>
      </c>
      <c r="G38" s="122" t="s">
        <v>103</v>
      </c>
    </row>
    <row r="39" spans="1:7" ht="15.75" x14ac:dyDescent="0.25">
      <c r="A39" s="122"/>
      <c r="B39" s="118" t="s">
        <v>122</v>
      </c>
      <c r="C39" s="211">
        <v>1E-3</v>
      </c>
      <c r="D39" s="189" t="s">
        <v>121</v>
      </c>
      <c r="E39" s="167">
        <v>56.75</v>
      </c>
      <c r="F39" s="121">
        <f>C39*$F$33*E39</f>
        <v>0.56466249999999996</v>
      </c>
      <c r="G39" s="122" t="s">
        <v>103</v>
      </c>
    </row>
    <row r="40" spans="1:7" ht="15.75" x14ac:dyDescent="0.25">
      <c r="A40" s="122"/>
      <c r="B40" s="118" t="s">
        <v>123</v>
      </c>
      <c r="C40" s="213">
        <v>3.0000000000000001E-3</v>
      </c>
      <c r="D40" s="190" t="s">
        <v>121</v>
      </c>
      <c r="E40" s="167">
        <v>100.17</v>
      </c>
      <c r="F40" s="121">
        <f>C40*$F$33*E40</f>
        <v>2.9900745</v>
      </c>
      <c r="G40" s="122" t="s">
        <v>103</v>
      </c>
    </row>
    <row r="41" spans="1:7" ht="15.75" x14ac:dyDescent="0.25">
      <c r="A41" s="122"/>
      <c r="B41" s="118" t="s">
        <v>124</v>
      </c>
      <c r="C41" s="127"/>
      <c r="D41" s="191"/>
      <c r="E41" s="130"/>
      <c r="F41" s="130">
        <f>SUM(F37:F40)</f>
        <v>52.528238999999985</v>
      </c>
      <c r="G41" s="122" t="s">
        <v>103</v>
      </c>
    </row>
    <row r="42" spans="1:7" ht="4.5" customHeight="1" x14ac:dyDescent="0.25">
      <c r="A42" s="122"/>
      <c r="B42" s="118"/>
      <c r="C42" s="118"/>
      <c r="D42" s="122"/>
      <c r="E42" s="147"/>
      <c r="F42" s="121"/>
      <c r="G42" s="122"/>
    </row>
    <row r="43" spans="1:7" ht="15.75" x14ac:dyDescent="0.25">
      <c r="A43" s="126">
        <v>8</v>
      </c>
      <c r="B43" s="127" t="s">
        <v>125</v>
      </c>
      <c r="C43" s="127"/>
      <c r="D43" s="126"/>
      <c r="E43" s="148">
        <v>0.62</v>
      </c>
      <c r="F43" s="130">
        <f>F20*E43</f>
        <v>68.192250000000001</v>
      </c>
      <c r="G43" s="126" t="s">
        <v>103</v>
      </c>
    </row>
    <row r="44" spans="1:7" ht="4.5" customHeight="1" x14ac:dyDescent="0.25">
      <c r="A44" s="122"/>
      <c r="B44" s="118"/>
      <c r="C44" s="118"/>
      <c r="D44" s="122"/>
      <c r="E44" s="147"/>
      <c r="F44" s="121"/>
      <c r="G44" s="122"/>
    </row>
    <row r="45" spans="1:7" ht="15.75" x14ac:dyDescent="0.25">
      <c r="A45" s="126">
        <v>9</v>
      </c>
      <c r="B45" s="127" t="s">
        <v>126</v>
      </c>
      <c r="C45" s="127"/>
      <c r="D45" s="126"/>
      <c r="E45" s="148"/>
      <c r="F45" s="130">
        <f>F20+F22+F24+F31+F34+F41+F43+F26</f>
        <v>1483.1792140000002</v>
      </c>
      <c r="G45" s="126" t="s">
        <v>103</v>
      </c>
    </row>
    <row r="46" spans="1:7" ht="4.5" customHeight="1" x14ac:dyDescent="0.25">
      <c r="A46" s="126"/>
      <c r="B46" s="127"/>
      <c r="C46" s="127"/>
      <c r="D46" s="126"/>
      <c r="E46" s="148"/>
      <c r="F46" s="130"/>
      <c r="G46" s="126"/>
    </row>
    <row r="47" spans="1:7" ht="15.75" x14ac:dyDescent="0.25">
      <c r="A47" s="126">
        <v>10</v>
      </c>
      <c r="B47" s="127" t="s">
        <v>127</v>
      </c>
      <c r="C47" s="127"/>
      <c r="D47" s="126"/>
      <c r="E47" s="148"/>
      <c r="F47" s="130"/>
      <c r="G47" s="126"/>
    </row>
    <row r="48" spans="1:7" ht="15.75" x14ac:dyDescent="0.25">
      <c r="A48" s="122"/>
      <c r="B48" s="118" t="s">
        <v>128</v>
      </c>
      <c r="C48" s="118"/>
      <c r="D48" s="122"/>
      <c r="E48" s="147">
        <v>0.1</v>
      </c>
      <c r="F48" s="121">
        <f>F45*E48</f>
        <v>148.31792140000002</v>
      </c>
      <c r="G48" s="122" t="s">
        <v>103</v>
      </c>
    </row>
    <row r="49" spans="1:7" ht="15.75" x14ac:dyDescent="0.25">
      <c r="A49" s="122"/>
      <c r="B49" s="118" t="s">
        <v>129</v>
      </c>
      <c r="C49" s="118"/>
      <c r="D49" s="122"/>
      <c r="E49" s="147">
        <v>0.15</v>
      </c>
      <c r="F49" s="121">
        <f>F45*E49</f>
        <v>222.47688210000004</v>
      </c>
      <c r="G49" s="122" t="s">
        <v>103</v>
      </c>
    </row>
    <row r="50" spans="1:7" ht="4.5" customHeight="1" x14ac:dyDescent="0.25">
      <c r="A50" s="122"/>
      <c r="B50" s="118"/>
      <c r="C50" s="118"/>
      <c r="D50" s="122"/>
      <c r="E50" s="147"/>
      <c r="F50" s="121"/>
      <c r="G50" s="122"/>
    </row>
    <row r="51" spans="1:7" ht="15.75" x14ac:dyDescent="0.25">
      <c r="A51" s="126">
        <v>11</v>
      </c>
      <c r="B51" s="127" t="s">
        <v>130</v>
      </c>
      <c r="C51" s="127"/>
      <c r="D51" s="126"/>
      <c r="E51" s="148"/>
      <c r="F51" s="130"/>
      <c r="G51" s="126"/>
    </row>
    <row r="52" spans="1:7" ht="15.75" x14ac:dyDescent="0.25">
      <c r="A52" s="122"/>
      <c r="B52" s="118" t="s">
        <v>128</v>
      </c>
      <c r="C52" s="118"/>
      <c r="D52" s="122"/>
      <c r="E52" s="147"/>
      <c r="F52" s="130">
        <f>F45+F48</f>
        <v>1631.4971354000002</v>
      </c>
      <c r="G52" s="126" t="s">
        <v>103</v>
      </c>
    </row>
    <row r="53" spans="1:7" ht="15.75" x14ac:dyDescent="0.25">
      <c r="A53" s="122"/>
      <c r="B53" s="118" t="s">
        <v>129</v>
      </c>
      <c r="C53" s="118"/>
      <c r="D53" s="122"/>
      <c r="E53" s="147"/>
      <c r="F53" s="130">
        <f>F45+F49</f>
        <v>1705.6560961000002</v>
      </c>
      <c r="G53" s="126" t="s">
        <v>103</v>
      </c>
    </row>
    <row r="54" spans="1:7" ht="15.75" x14ac:dyDescent="0.25">
      <c r="A54" s="113"/>
      <c r="B54" s="113"/>
      <c r="C54" s="113"/>
      <c r="D54" s="144"/>
      <c r="E54" s="113"/>
      <c r="F54" s="117"/>
      <c r="G54" s="172"/>
    </row>
    <row r="55" spans="1:7" ht="15.75" x14ac:dyDescent="0.25">
      <c r="A55" s="113"/>
      <c r="B55" s="113"/>
      <c r="C55" s="113"/>
      <c r="D55" s="144"/>
      <c r="E55" s="113"/>
      <c r="F55" s="117"/>
      <c r="G55" s="113"/>
    </row>
    <row r="56" spans="1:7" ht="15.75" x14ac:dyDescent="0.25">
      <c r="A56" s="31"/>
      <c r="B56" s="90" t="s">
        <v>56</v>
      </c>
      <c r="C56" s="90"/>
      <c r="D56" s="90"/>
      <c r="E56" s="31"/>
      <c r="F56" s="67" t="s">
        <v>58</v>
      </c>
      <c r="G56" s="31"/>
    </row>
    <row r="57" spans="1:7" ht="15.75" x14ac:dyDescent="0.25">
      <c r="A57" s="31"/>
      <c r="B57" s="91" t="s">
        <v>57</v>
      </c>
      <c r="C57" s="90"/>
      <c r="D57" s="90"/>
      <c r="E57" s="31"/>
      <c r="F57" s="42"/>
      <c r="G57" s="31"/>
    </row>
  </sheetData>
  <mergeCells count="5">
    <mergeCell ref="A6:G6"/>
    <mergeCell ref="A7:G7"/>
    <mergeCell ref="A8:A9"/>
    <mergeCell ref="B8:E9"/>
    <mergeCell ref="F8:G8"/>
  </mergeCells>
  <pageMargins left="0.25" right="0.25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2"/>
  <sheetViews>
    <sheetView topLeftCell="A16" workbookViewId="0">
      <selection activeCell="H16" sqref="H16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17" t="s">
        <v>372</v>
      </c>
      <c r="B1" s="317"/>
      <c r="C1" s="317"/>
      <c r="D1" s="317"/>
      <c r="E1" s="317"/>
      <c r="F1" s="317"/>
      <c r="G1" s="317"/>
    </row>
    <row r="2" spans="1:7" x14ac:dyDescent="0.25">
      <c r="A2" s="316" t="s">
        <v>135</v>
      </c>
      <c r="B2" s="316"/>
      <c r="C2" s="316"/>
      <c r="D2" s="316"/>
      <c r="E2" s="316"/>
      <c r="F2" s="316"/>
      <c r="G2" s="3"/>
    </row>
    <row r="3" spans="1:7" x14ac:dyDescent="0.25">
      <c r="A3" s="94"/>
      <c r="B3" s="5">
        <f>'План. расчет времени'!F60</f>
        <v>837.50251340482566</v>
      </c>
      <c r="C3" s="3" t="s">
        <v>136</v>
      </c>
      <c r="D3" s="3"/>
      <c r="E3" s="3"/>
      <c r="F3" s="3"/>
      <c r="G3" s="3"/>
    </row>
    <row r="4" spans="1:7" x14ac:dyDescent="0.25">
      <c r="A4" s="316" t="s">
        <v>137</v>
      </c>
      <c r="B4" s="316"/>
      <c r="C4" s="316"/>
      <c r="D4" s="316"/>
      <c r="E4" s="316"/>
      <c r="F4" s="316"/>
      <c r="G4" s="93"/>
    </row>
    <row r="5" spans="1:7" x14ac:dyDescent="0.25">
      <c r="A5" s="3"/>
      <c r="B5" s="3">
        <v>40</v>
      </c>
      <c r="C5" s="3" t="s">
        <v>136</v>
      </c>
      <c r="D5" s="3"/>
      <c r="E5" s="3"/>
      <c r="F5" s="3"/>
      <c r="G5" s="93"/>
    </row>
    <row r="6" spans="1:7" x14ac:dyDescent="0.25">
      <c r="A6" s="316" t="s">
        <v>173</v>
      </c>
      <c r="B6" s="316"/>
      <c r="C6" s="316"/>
      <c r="D6" s="316"/>
      <c r="E6" s="316"/>
      <c r="F6" s="316"/>
      <c r="G6" s="316"/>
    </row>
    <row r="7" spans="1:7" x14ac:dyDescent="0.25">
      <c r="A7" s="3"/>
      <c r="B7" s="3"/>
      <c r="C7" s="3" t="s">
        <v>136</v>
      </c>
      <c r="D7" s="94"/>
      <c r="E7" s="94"/>
      <c r="F7" s="3"/>
      <c r="G7" s="3"/>
    </row>
    <row r="8" spans="1:7" x14ac:dyDescent="0.25">
      <c r="A8" s="93"/>
      <c r="B8" s="93"/>
      <c r="C8" s="93"/>
      <c r="D8" s="3"/>
      <c r="E8" s="3"/>
      <c r="F8" s="3"/>
      <c r="G8" s="3"/>
    </row>
    <row r="9" spans="1:7" x14ac:dyDescent="0.25">
      <c r="A9" s="404" t="s">
        <v>141</v>
      </c>
      <c r="B9" s="404"/>
      <c r="C9" s="404"/>
      <c r="D9" s="158">
        <f>B3-B5-B7</f>
        <v>797.50251340482566</v>
      </c>
      <c r="E9" s="159" t="s">
        <v>136</v>
      </c>
      <c r="F9" s="159"/>
      <c r="G9" s="9"/>
    </row>
    <row r="10" spans="1:7" x14ac:dyDescent="0.25">
      <c r="A10" s="93"/>
      <c r="B10" s="93"/>
      <c r="C10" s="93"/>
      <c r="D10" s="93"/>
      <c r="E10" s="93"/>
      <c r="F10" s="93"/>
      <c r="G10" s="93"/>
    </row>
    <row r="11" spans="1:7" x14ac:dyDescent="0.25">
      <c r="A11" s="316" t="s">
        <v>174</v>
      </c>
      <c r="B11" s="316"/>
      <c r="C11" s="3">
        <v>3577.92</v>
      </c>
      <c r="D11" s="3" t="s">
        <v>103</v>
      </c>
      <c r="E11" s="3"/>
      <c r="F11" s="93"/>
      <c r="G11" s="93"/>
    </row>
    <row r="12" spans="1:7" x14ac:dyDescent="0.25">
      <c r="A12" s="93"/>
      <c r="B12" s="93"/>
      <c r="C12" s="93"/>
      <c r="D12" s="93"/>
      <c r="E12" s="93"/>
      <c r="F12" s="93"/>
      <c r="G12" s="93"/>
    </row>
    <row r="13" spans="1:7" x14ac:dyDescent="0.25">
      <c r="A13" s="316" t="s">
        <v>175</v>
      </c>
      <c r="B13" s="316"/>
      <c r="C13" s="316"/>
      <c r="D13" s="316"/>
      <c r="E13" s="316"/>
      <c r="F13" s="3">
        <v>101376</v>
      </c>
      <c r="G13" s="3" t="s">
        <v>103</v>
      </c>
    </row>
    <row r="14" spans="1:7" x14ac:dyDescent="0.25">
      <c r="A14" s="93"/>
      <c r="B14" s="93"/>
      <c r="C14" s="3"/>
      <c r="D14" s="3"/>
      <c r="E14" s="3"/>
      <c r="F14" s="94"/>
      <c r="G14" s="94"/>
    </row>
    <row r="15" spans="1:7" ht="15.75" thickBot="1" x14ac:dyDescent="0.3">
      <c r="A15" s="375" t="s">
        <v>143</v>
      </c>
      <c r="B15" s="373" t="s">
        <v>144</v>
      </c>
      <c r="C15" s="373"/>
      <c r="D15" s="373"/>
      <c r="E15" s="3"/>
      <c r="F15" s="94"/>
      <c r="G15" s="94"/>
    </row>
    <row r="16" spans="1:7" x14ac:dyDescent="0.25">
      <c r="A16" s="375"/>
      <c r="B16" s="374" t="s">
        <v>145</v>
      </c>
      <c r="C16" s="374"/>
      <c r="D16" s="374"/>
      <c r="E16" s="3"/>
      <c r="F16" s="94"/>
      <c r="G16" s="94"/>
    </row>
    <row r="17" spans="1:7" x14ac:dyDescent="0.25">
      <c r="A17" s="99"/>
      <c r="B17" s="100"/>
      <c r="C17" s="100"/>
      <c r="D17" s="100"/>
      <c r="E17" s="3"/>
      <c r="F17" s="94"/>
      <c r="G17" s="94"/>
    </row>
    <row r="18" spans="1:7" ht="15.75" thickBot="1" x14ac:dyDescent="0.3">
      <c r="A18" s="372" t="s">
        <v>146</v>
      </c>
      <c r="B18" s="372"/>
      <c r="C18" s="373" t="s">
        <v>147</v>
      </c>
      <c r="D18" s="373"/>
      <c r="E18" s="373"/>
      <c r="F18" s="94"/>
      <c r="G18" s="94"/>
    </row>
    <row r="19" spans="1:7" x14ac:dyDescent="0.25">
      <c r="A19" s="372"/>
      <c r="B19" s="372"/>
      <c r="C19" s="374" t="s">
        <v>145</v>
      </c>
      <c r="D19" s="374"/>
      <c r="E19" s="374"/>
      <c r="F19" s="94"/>
      <c r="G19" s="94"/>
    </row>
    <row r="20" spans="1:7" x14ac:dyDescent="0.25">
      <c r="A20" s="9"/>
      <c r="B20" s="9"/>
      <c r="C20" s="101"/>
      <c r="D20" s="101"/>
      <c r="E20" s="101"/>
      <c r="F20" s="94"/>
      <c r="G20" s="94"/>
    </row>
    <row r="21" spans="1:7" x14ac:dyDescent="0.25">
      <c r="A21" s="9"/>
      <c r="B21" s="9"/>
      <c r="C21" s="101"/>
      <c r="D21" s="101"/>
      <c r="E21" s="320" t="s">
        <v>13</v>
      </c>
      <c r="F21" s="320"/>
      <c r="G21" s="94"/>
    </row>
    <row r="22" spans="1:7" x14ac:dyDescent="0.25">
      <c r="A22" s="321" t="s">
        <v>148</v>
      </c>
      <c r="B22" s="321"/>
      <c r="C22" s="321"/>
      <c r="D22" s="321"/>
      <c r="E22" s="321"/>
      <c r="F22" s="321"/>
      <c r="G22" s="94"/>
    </row>
    <row r="23" spans="1:7" x14ac:dyDescent="0.25">
      <c r="A23" s="377" t="s">
        <v>149</v>
      </c>
      <c r="B23" s="379" t="s">
        <v>16</v>
      </c>
      <c r="C23" s="380"/>
      <c r="D23" s="380"/>
      <c r="E23" s="381" t="s">
        <v>150</v>
      </c>
      <c r="F23" s="381"/>
      <c r="G23" s="102"/>
    </row>
    <row r="24" spans="1:7" ht="45" x14ac:dyDescent="0.25">
      <c r="A24" s="378"/>
      <c r="B24" s="103" t="s">
        <v>151</v>
      </c>
      <c r="C24" s="103" t="s">
        <v>152</v>
      </c>
      <c r="D24" s="104" t="s">
        <v>153</v>
      </c>
      <c r="E24" s="103" t="s">
        <v>154</v>
      </c>
      <c r="F24" s="103" t="s">
        <v>155</v>
      </c>
      <c r="G24" s="105"/>
    </row>
    <row r="25" spans="1:7" x14ac:dyDescent="0.25">
      <c r="A25" s="106" t="s">
        <v>373</v>
      </c>
      <c r="B25" s="107">
        <f>C11</f>
        <v>3577.92</v>
      </c>
      <c r="C25" s="108">
        <f>F13</f>
        <v>101376</v>
      </c>
      <c r="D25" s="109">
        <f>D9</f>
        <v>797.50251340482566</v>
      </c>
      <c r="E25" s="108">
        <f>B25/D25</f>
        <v>4.4864059233174958</v>
      </c>
      <c r="F25" s="107">
        <f>C25/D25</f>
        <v>127.11684075726522</v>
      </c>
      <c r="G25" s="12"/>
    </row>
    <row r="26" spans="1:7" x14ac:dyDescent="0.25">
      <c r="A26" s="94"/>
      <c r="B26" s="94"/>
      <c r="C26" s="94"/>
      <c r="D26" s="94"/>
      <c r="E26" s="94"/>
      <c r="F26" s="94"/>
      <c r="G26" s="94"/>
    </row>
    <row r="27" spans="1:7" x14ac:dyDescent="0.25">
      <c r="A27" s="94"/>
      <c r="B27" s="94"/>
      <c r="C27" s="94"/>
      <c r="D27" s="94"/>
      <c r="E27" s="94"/>
      <c r="F27" s="94"/>
      <c r="G27" s="94"/>
    </row>
    <row r="28" spans="1:7" x14ac:dyDescent="0.25">
      <c r="A28" s="94"/>
      <c r="B28" s="94"/>
      <c r="C28" s="94"/>
      <c r="D28" s="94"/>
      <c r="E28" s="94"/>
      <c r="F28" s="94"/>
      <c r="G28" s="94"/>
    </row>
    <row r="29" spans="1:7" x14ac:dyDescent="0.25">
      <c r="A29" s="94"/>
      <c r="B29" s="94"/>
      <c r="C29" s="94"/>
      <c r="D29" s="94"/>
      <c r="E29" s="94"/>
      <c r="F29" s="94"/>
      <c r="G29" s="94"/>
    </row>
    <row r="30" spans="1:7" ht="15.75" x14ac:dyDescent="0.25">
      <c r="A30" s="382" t="s">
        <v>56</v>
      </c>
      <c r="B30" s="382"/>
      <c r="C30" s="382"/>
      <c r="D30" s="31"/>
      <c r="E30" s="340" t="s">
        <v>58</v>
      </c>
      <c r="F30" s="340"/>
      <c r="G30" s="340"/>
    </row>
    <row r="31" spans="1:7" ht="15.75" x14ac:dyDescent="0.25">
      <c r="A31" s="376" t="s">
        <v>57</v>
      </c>
      <c r="B31" s="376"/>
      <c r="C31" s="376"/>
      <c r="D31" s="31"/>
      <c r="E31" s="31"/>
      <c r="F31" s="91"/>
      <c r="G31" s="31"/>
    </row>
    <row r="32" spans="1:7" x14ac:dyDescent="0.25">
      <c r="A32" s="94"/>
      <c r="B32" s="94"/>
      <c r="C32" s="94"/>
      <c r="D32" s="94"/>
      <c r="E32" s="94"/>
      <c r="F32" s="94"/>
      <c r="G32" s="94"/>
    </row>
  </sheetData>
  <mergeCells count="21">
    <mergeCell ref="A31:C31"/>
    <mergeCell ref="E21:F21"/>
    <mergeCell ref="A22:F22"/>
    <mergeCell ref="A23:A24"/>
    <mergeCell ref="B23:D23"/>
    <mergeCell ref="E23:F23"/>
    <mergeCell ref="A30:C30"/>
    <mergeCell ref="E30:G30"/>
    <mergeCell ref="A13:E13"/>
    <mergeCell ref="A15:A16"/>
    <mergeCell ref="B15:D15"/>
    <mergeCell ref="B16:D16"/>
    <mergeCell ref="A18:B19"/>
    <mergeCell ref="C18:E18"/>
    <mergeCell ref="C19:E19"/>
    <mergeCell ref="A11:B11"/>
    <mergeCell ref="A1:G1"/>
    <mergeCell ref="A2:F2"/>
    <mergeCell ref="A4:F4"/>
    <mergeCell ref="A6:G6"/>
    <mergeCell ref="A9:C9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1"/>
  <sheetViews>
    <sheetView topLeftCell="A31" workbookViewId="0">
      <selection activeCell="J47" sqref="J47"/>
    </sheetView>
  </sheetViews>
  <sheetFormatPr defaultRowHeight="15" x14ac:dyDescent="0.25"/>
  <cols>
    <col min="1" max="1" width="5.42578125" customWidth="1"/>
    <col min="2" max="2" width="28.140625" customWidth="1"/>
    <col min="4" max="4" width="14.140625" customWidth="1"/>
    <col min="5" max="5" width="9.85546875" customWidth="1"/>
    <col min="6" max="6" width="19.7109375" customWidth="1"/>
    <col min="7" max="7" width="12.42578125" customWidth="1"/>
  </cols>
  <sheetData>
    <row r="1" spans="1:7" ht="15.75" x14ac:dyDescent="0.25">
      <c r="A1" s="113"/>
      <c r="B1" s="113"/>
      <c r="C1" s="113"/>
      <c r="D1" s="144"/>
      <c r="E1" s="113"/>
      <c r="F1" s="117"/>
      <c r="G1" s="115" t="s">
        <v>167</v>
      </c>
    </row>
    <row r="2" spans="1:7" ht="15.75" x14ac:dyDescent="0.25">
      <c r="A2" s="113"/>
      <c r="B2" s="113"/>
      <c r="C2" s="113"/>
      <c r="D2" s="144"/>
      <c r="E2" s="113"/>
      <c r="F2" s="117"/>
      <c r="G2" s="115" t="s">
        <v>61</v>
      </c>
    </row>
    <row r="3" spans="1:7" ht="15.75" x14ac:dyDescent="0.25">
      <c r="A3" s="113"/>
      <c r="B3" s="113"/>
      <c r="C3" s="113"/>
      <c r="D3" s="144"/>
      <c r="E3" s="113"/>
      <c r="F3" s="117"/>
      <c r="G3" s="115" t="s">
        <v>414</v>
      </c>
    </row>
    <row r="4" spans="1:7" ht="15.75" x14ac:dyDescent="0.25">
      <c r="A4" s="113"/>
      <c r="B4" s="113"/>
      <c r="C4" s="113"/>
      <c r="D4" s="144"/>
      <c r="E4" s="113"/>
      <c r="F4" s="117"/>
      <c r="G4" s="115" t="s">
        <v>430</v>
      </c>
    </row>
    <row r="5" spans="1:7" ht="15.75" x14ac:dyDescent="0.25">
      <c r="A5" s="113"/>
      <c r="B5" s="113"/>
      <c r="C5" s="113"/>
      <c r="D5" s="144"/>
      <c r="E5" s="193"/>
      <c r="F5" s="194"/>
      <c r="G5" s="113"/>
    </row>
    <row r="6" spans="1:7" ht="15.75" x14ac:dyDescent="0.25">
      <c r="A6" s="394" t="s">
        <v>98</v>
      </c>
      <c r="B6" s="394"/>
      <c r="C6" s="394"/>
      <c r="D6" s="394"/>
      <c r="E6" s="394"/>
      <c r="F6" s="394"/>
      <c r="G6" s="394"/>
    </row>
    <row r="7" spans="1:7" ht="15.75" x14ac:dyDescent="0.25">
      <c r="A7" s="394" t="s">
        <v>374</v>
      </c>
      <c r="B7" s="394"/>
      <c r="C7" s="394"/>
      <c r="D7" s="394"/>
      <c r="E7" s="394"/>
      <c r="F7" s="394"/>
      <c r="G7" s="394"/>
    </row>
    <row r="8" spans="1:7" x14ac:dyDescent="0.25">
      <c r="A8" s="350" t="s">
        <v>14</v>
      </c>
      <c r="B8" s="388" t="s">
        <v>100</v>
      </c>
      <c r="C8" s="389"/>
      <c r="D8" s="389"/>
      <c r="E8" s="390"/>
      <c r="F8" s="354" t="s">
        <v>101</v>
      </c>
      <c r="G8" s="354"/>
    </row>
    <row r="9" spans="1:7" x14ac:dyDescent="0.25">
      <c r="A9" s="351"/>
      <c r="B9" s="391"/>
      <c r="C9" s="392"/>
      <c r="D9" s="392"/>
      <c r="E9" s="393"/>
      <c r="F9" s="145" t="s">
        <v>102</v>
      </c>
      <c r="G9" s="97" t="s">
        <v>64</v>
      </c>
    </row>
    <row r="10" spans="1:7" ht="15.75" x14ac:dyDescent="0.25">
      <c r="A10" s="118"/>
      <c r="B10" s="118" t="s">
        <v>158</v>
      </c>
      <c r="C10" s="118"/>
      <c r="D10" s="122"/>
      <c r="E10" s="147"/>
      <c r="F10" s="196">
        <v>68.150000000000006</v>
      </c>
      <c r="G10" s="122" t="s">
        <v>103</v>
      </c>
    </row>
    <row r="11" spans="1:7" ht="12" customHeight="1" x14ac:dyDescent="0.25">
      <c r="A11" s="118"/>
      <c r="B11" s="118"/>
      <c r="C11" s="118"/>
      <c r="D11" s="122"/>
      <c r="E11" s="147"/>
      <c r="F11" s="196"/>
      <c r="G11" s="122"/>
    </row>
    <row r="12" spans="1:7" ht="15.75" x14ac:dyDescent="0.25">
      <c r="A12" s="118"/>
      <c r="B12" s="118" t="s">
        <v>199</v>
      </c>
      <c r="C12" s="118"/>
      <c r="D12" s="122"/>
      <c r="E12" s="147">
        <v>0.25</v>
      </c>
      <c r="F12" s="196">
        <f>F10*E12</f>
        <v>17.037500000000001</v>
      </c>
      <c r="G12" s="122"/>
    </row>
    <row r="13" spans="1:7" ht="12" customHeight="1" x14ac:dyDescent="0.25">
      <c r="A13" s="118"/>
      <c r="B13" s="118"/>
      <c r="C13" s="118"/>
      <c r="D13" s="122"/>
      <c r="E13" s="147"/>
      <c r="F13" s="196"/>
      <c r="G13" s="122"/>
    </row>
    <row r="14" spans="1:7" ht="15.75" x14ac:dyDescent="0.25">
      <c r="A14" s="118"/>
      <c r="B14" s="383" t="s">
        <v>105</v>
      </c>
      <c r="C14" s="385"/>
      <c r="D14" s="122"/>
      <c r="E14" s="147">
        <v>0.1</v>
      </c>
      <c r="F14" s="196">
        <f>F10*E14</f>
        <v>6.8150000000000013</v>
      </c>
      <c r="G14" s="122"/>
    </row>
    <row r="15" spans="1:7" ht="12" customHeight="1" x14ac:dyDescent="0.25">
      <c r="A15" s="118"/>
      <c r="B15" s="118"/>
      <c r="C15" s="118"/>
      <c r="D15" s="122"/>
      <c r="E15" s="147"/>
      <c r="F15" s="196"/>
      <c r="G15" s="122"/>
    </row>
    <row r="16" spans="1:7" ht="15.75" x14ac:dyDescent="0.25">
      <c r="A16" s="118"/>
      <c r="B16" s="118" t="s">
        <v>106</v>
      </c>
      <c r="C16" s="118"/>
      <c r="D16" s="122"/>
      <c r="E16" s="147">
        <v>0.4</v>
      </c>
      <c r="F16" s="196">
        <f>SUM(F10:F11)*E16</f>
        <v>27.260000000000005</v>
      </c>
      <c r="G16" s="122" t="s">
        <v>103</v>
      </c>
    </row>
    <row r="17" spans="1:7" ht="12" customHeight="1" x14ac:dyDescent="0.25">
      <c r="A17" s="118"/>
      <c r="B17" s="118"/>
      <c r="C17" s="118"/>
      <c r="D17" s="122"/>
      <c r="E17" s="147"/>
      <c r="F17" s="196"/>
      <c r="G17" s="122"/>
    </row>
    <row r="18" spans="1:7" ht="15.75" x14ac:dyDescent="0.25">
      <c r="A18" s="118"/>
      <c r="B18" s="118" t="s">
        <v>107</v>
      </c>
      <c r="C18" s="118"/>
      <c r="D18" s="122"/>
      <c r="E18" s="147"/>
      <c r="F18" s="196">
        <v>60</v>
      </c>
      <c r="G18" s="122" t="s">
        <v>108</v>
      </c>
    </row>
    <row r="19" spans="1:7" ht="12" customHeight="1" x14ac:dyDescent="0.25">
      <c r="A19" s="118"/>
      <c r="B19" s="118"/>
      <c r="C19" s="118"/>
      <c r="D19" s="122"/>
      <c r="E19" s="147"/>
      <c r="F19" s="196"/>
      <c r="G19" s="118"/>
    </row>
    <row r="20" spans="1:7" ht="15.75" x14ac:dyDescent="0.25">
      <c r="A20" s="126">
        <v>1</v>
      </c>
      <c r="B20" s="127" t="s">
        <v>109</v>
      </c>
      <c r="C20" s="127"/>
      <c r="D20" s="126"/>
      <c r="E20" s="148"/>
      <c r="F20" s="197">
        <f>F10+F12+F14+F16</f>
        <v>119.2625</v>
      </c>
      <c r="G20" s="126" t="s">
        <v>103</v>
      </c>
    </row>
    <row r="21" spans="1:7" ht="12" customHeight="1" x14ac:dyDescent="0.25">
      <c r="A21" s="122"/>
      <c r="B21" s="118"/>
      <c r="C21" s="118"/>
      <c r="D21" s="122"/>
      <c r="E21" s="147"/>
      <c r="F21" s="196"/>
      <c r="G21" s="122"/>
    </row>
    <row r="22" spans="1:7" ht="15.75" x14ac:dyDescent="0.25">
      <c r="A22" s="126">
        <v>2</v>
      </c>
      <c r="B22" s="127" t="s">
        <v>110</v>
      </c>
      <c r="C22" s="127"/>
      <c r="D22" s="126"/>
      <c r="E22" s="148">
        <v>0.30199999999999999</v>
      </c>
      <c r="F22" s="197">
        <f>E22*F20</f>
        <v>36.017274999999998</v>
      </c>
      <c r="G22" s="126" t="s">
        <v>103</v>
      </c>
    </row>
    <row r="23" spans="1:7" ht="12" customHeight="1" x14ac:dyDescent="0.25">
      <c r="A23" s="122"/>
      <c r="B23" s="118"/>
      <c r="C23" s="118"/>
      <c r="D23" s="122"/>
      <c r="E23" s="147"/>
      <c r="F23" s="196"/>
      <c r="G23" s="122"/>
    </row>
    <row r="24" spans="1:7" ht="15.75" x14ac:dyDescent="0.25">
      <c r="A24" s="126">
        <v>3</v>
      </c>
      <c r="B24" s="127" t="s">
        <v>111</v>
      </c>
      <c r="C24" s="420" t="s">
        <v>160</v>
      </c>
      <c r="D24" s="421"/>
      <c r="E24" s="148"/>
      <c r="F24" s="197">
        <v>0</v>
      </c>
      <c r="G24" s="126" t="s">
        <v>103</v>
      </c>
    </row>
    <row r="25" spans="1:7" ht="12" customHeight="1" x14ac:dyDescent="0.25">
      <c r="A25" s="122"/>
      <c r="B25" s="118"/>
      <c r="C25" s="118"/>
      <c r="D25" s="122"/>
      <c r="E25" s="147"/>
      <c r="F25" s="196"/>
      <c r="G25" s="122"/>
    </row>
    <row r="26" spans="1:7" ht="15.75" x14ac:dyDescent="0.25">
      <c r="A26" s="126">
        <v>4</v>
      </c>
      <c r="B26" s="127" t="s">
        <v>113</v>
      </c>
      <c r="C26" s="127"/>
      <c r="D26" s="126"/>
      <c r="E26" s="148"/>
      <c r="F26" s="197">
        <f>'Пробег ДЗ-180'!F24</f>
        <v>885.4202324451586</v>
      </c>
      <c r="G26" s="126" t="s">
        <v>103</v>
      </c>
    </row>
    <row r="27" spans="1:7" ht="12" customHeight="1" x14ac:dyDescent="0.25">
      <c r="A27" s="122"/>
      <c r="B27" s="118"/>
      <c r="C27" s="118"/>
      <c r="D27" s="122"/>
      <c r="E27" s="121"/>
      <c r="F27" s="196"/>
      <c r="G27" s="122"/>
    </row>
    <row r="28" spans="1:7" ht="15.75" x14ac:dyDescent="0.25">
      <c r="A28" s="126">
        <v>5</v>
      </c>
      <c r="B28" s="127" t="s">
        <v>161</v>
      </c>
      <c r="C28" s="127"/>
      <c r="D28" s="126"/>
      <c r="E28" s="130"/>
      <c r="F28" s="133">
        <v>12.82</v>
      </c>
      <c r="G28" s="122" t="s">
        <v>116</v>
      </c>
    </row>
    <row r="29" spans="1:7" ht="15.75" x14ac:dyDescent="0.25">
      <c r="A29" s="122"/>
      <c r="B29" s="118"/>
      <c r="C29" s="149" t="s">
        <v>375</v>
      </c>
      <c r="D29" s="122"/>
      <c r="E29" s="117">
        <v>34.54</v>
      </c>
      <c r="F29" s="135">
        <f>F28*E29</f>
        <v>442.80279999999999</v>
      </c>
      <c r="G29" s="126" t="s">
        <v>103</v>
      </c>
    </row>
    <row r="30" spans="1:7" ht="12" customHeight="1" x14ac:dyDescent="0.25">
      <c r="A30" s="122"/>
      <c r="B30" s="118"/>
      <c r="C30" s="118"/>
      <c r="D30" s="122"/>
      <c r="E30" s="121"/>
      <c r="F30" s="196"/>
      <c r="G30" s="122"/>
    </row>
    <row r="31" spans="1:7" ht="15.75" x14ac:dyDescent="0.25">
      <c r="A31" s="126">
        <v>6</v>
      </c>
      <c r="B31" s="127" t="s">
        <v>117</v>
      </c>
      <c r="C31" s="198"/>
      <c r="D31" s="199"/>
      <c r="E31" s="130"/>
      <c r="F31" s="197"/>
      <c r="G31" s="126"/>
    </row>
    <row r="32" spans="1:7" ht="15.75" x14ac:dyDescent="0.25">
      <c r="A32" s="122"/>
      <c r="B32" s="118" t="s">
        <v>118</v>
      </c>
      <c r="C32" s="118">
        <v>3.2000000000000001E-2</v>
      </c>
      <c r="D32" s="175" t="s">
        <v>196</v>
      </c>
      <c r="E32" s="121">
        <v>142.72999999999999</v>
      </c>
      <c r="F32" s="196">
        <f>C32*$F$28*E32</f>
        <v>58.553555199999998</v>
      </c>
      <c r="G32" s="122"/>
    </row>
    <row r="33" spans="1:7" ht="15.75" x14ac:dyDescent="0.25">
      <c r="A33" s="122"/>
      <c r="B33" s="118" t="s">
        <v>120</v>
      </c>
      <c r="C33" s="118">
        <v>4.0000000000000001E-3</v>
      </c>
      <c r="D33" s="200" t="s">
        <v>121</v>
      </c>
      <c r="E33" s="121">
        <v>88.65</v>
      </c>
      <c r="F33" s="196">
        <f>C33*$F$28*E33</f>
        <v>4.5459719999999999</v>
      </c>
      <c r="G33" s="122"/>
    </row>
    <row r="34" spans="1:7" ht="15.75" x14ac:dyDescent="0.25">
      <c r="A34" s="122"/>
      <c r="B34" s="118" t="s">
        <v>122</v>
      </c>
      <c r="C34" s="118">
        <v>1E-3</v>
      </c>
      <c r="D34" s="200" t="s">
        <v>121</v>
      </c>
      <c r="E34" s="121">
        <v>56.75</v>
      </c>
      <c r="F34" s="196">
        <f>C34*$F$28*E34</f>
        <v>0.72753500000000004</v>
      </c>
      <c r="G34" s="122"/>
    </row>
    <row r="35" spans="1:7" ht="15.75" x14ac:dyDescent="0.25">
      <c r="A35" s="122"/>
      <c r="B35" s="118" t="s">
        <v>123</v>
      </c>
      <c r="C35" s="118">
        <v>3.0000000000000001E-3</v>
      </c>
      <c r="D35" s="200" t="s">
        <v>121</v>
      </c>
      <c r="E35" s="121">
        <v>100.17</v>
      </c>
      <c r="F35" s="196">
        <f>C35*$F$28*E35</f>
        <v>3.8525382000000001</v>
      </c>
      <c r="G35" s="122"/>
    </row>
    <row r="36" spans="1:7" ht="15.75" x14ac:dyDescent="0.25">
      <c r="A36" s="122"/>
      <c r="B36" s="118" t="s">
        <v>124</v>
      </c>
      <c r="C36" s="127"/>
      <c r="D36" s="126"/>
      <c r="E36" s="130"/>
      <c r="F36" s="197">
        <f>SUM(F32:F35)</f>
        <v>67.679600399999998</v>
      </c>
      <c r="G36" s="126"/>
    </row>
    <row r="37" spans="1:7" ht="12" customHeight="1" x14ac:dyDescent="0.25">
      <c r="A37" s="122"/>
      <c r="B37" s="118"/>
      <c r="C37" s="118"/>
      <c r="D37" s="122"/>
      <c r="E37" s="147"/>
      <c r="F37" s="196"/>
      <c r="G37" s="122"/>
    </row>
    <row r="38" spans="1:7" ht="15.75" x14ac:dyDescent="0.25">
      <c r="A38" s="126">
        <v>7</v>
      </c>
      <c r="B38" s="127" t="s">
        <v>125</v>
      </c>
      <c r="C38" s="127"/>
      <c r="D38" s="126"/>
      <c r="E38" s="148">
        <v>0.62</v>
      </c>
      <c r="F38" s="197">
        <f>F20*E38</f>
        <v>73.942750000000004</v>
      </c>
      <c r="G38" s="126" t="s">
        <v>103</v>
      </c>
    </row>
    <row r="39" spans="1:7" ht="12" customHeight="1" x14ac:dyDescent="0.25">
      <c r="A39" s="122"/>
      <c r="B39" s="118"/>
      <c r="C39" s="118"/>
      <c r="D39" s="122"/>
      <c r="E39" s="147"/>
      <c r="F39" s="196"/>
      <c r="G39" s="122"/>
    </row>
    <row r="40" spans="1:7" ht="15.75" x14ac:dyDescent="0.25">
      <c r="A40" s="126">
        <v>8</v>
      </c>
      <c r="B40" s="127" t="s">
        <v>126</v>
      </c>
      <c r="C40" s="127"/>
      <c r="D40" s="126"/>
      <c r="E40" s="148"/>
      <c r="F40" s="197">
        <f>F20+F22+F24+F26+F29+F36+F38</f>
        <v>1625.1251578451586</v>
      </c>
      <c r="G40" s="126" t="s">
        <v>103</v>
      </c>
    </row>
    <row r="41" spans="1:7" ht="12" customHeight="1" x14ac:dyDescent="0.25">
      <c r="A41" s="126"/>
      <c r="B41" s="127"/>
      <c r="C41" s="127"/>
      <c r="D41" s="126"/>
      <c r="E41" s="148"/>
      <c r="F41" s="197"/>
      <c r="G41" s="126"/>
    </row>
    <row r="42" spans="1:7" ht="15.75" x14ac:dyDescent="0.25">
      <c r="A42" s="126">
        <v>9</v>
      </c>
      <c r="B42" s="127" t="s">
        <v>127</v>
      </c>
      <c r="C42" s="127"/>
      <c r="D42" s="126"/>
      <c r="E42" s="148"/>
      <c r="F42" s="197"/>
      <c r="G42" s="126"/>
    </row>
    <row r="43" spans="1:7" ht="15.75" x14ac:dyDescent="0.25">
      <c r="A43" s="122"/>
      <c r="B43" s="118" t="s">
        <v>128</v>
      </c>
      <c r="C43" s="118"/>
      <c r="D43" s="122"/>
      <c r="E43" s="147">
        <v>0.1</v>
      </c>
      <c r="F43" s="196">
        <f>F40*E43</f>
        <v>162.51251578451587</v>
      </c>
      <c r="G43" s="122" t="s">
        <v>103</v>
      </c>
    </row>
    <row r="44" spans="1:7" ht="15.75" x14ac:dyDescent="0.25">
      <c r="A44" s="122"/>
      <c r="B44" s="118" t="s">
        <v>129</v>
      </c>
      <c r="C44" s="118"/>
      <c r="D44" s="122"/>
      <c r="E44" s="147">
        <v>0.15</v>
      </c>
      <c r="F44" s="196">
        <f>F40*E44</f>
        <v>243.76877367677378</v>
      </c>
      <c r="G44" s="122" t="s">
        <v>103</v>
      </c>
    </row>
    <row r="45" spans="1:7" ht="12" customHeight="1" x14ac:dyDescent="0.25">
      <c r="A45" s="122"/>
      <c r="B45" s="118"/>
      <c r="C45" s="118"/>
      <c r="D45" s="122"/>
      <c r="E45" s="147"/>
      <c r="F45" s="196"/>
      <c r="G45" s="122"/>
    </row>
    <row r="46" spans="1:7" ht="15.75" x14ac:dyDescent="0.25">
      <c r="A46" s="126">
        <v>10</v>
      </c>
      <c r="B46" s="127" t="s">
        <v>130</v>
      </c>
      <c r="C46" s="127"/>
      <c r="D46" s="126"/>
      <c r="E46" s="148"/>
      <c r="F46" s="197"/>
      <c r="G46" s="126"/>
    </row>
    <row r="47" spans="1:7" ht="15.75" x14ac:dyDescent="0.25">
      <c r="A47" s="122"/>
      <c r="B47" s="118" t="s">
        <v>128</v>
      </c>
      <c r="C47" s="118"/>
      <c r="D47" s="122"/>
      <c r="E47" s="147"/>
      <c r="F47" s="197">
        <f>F40+F43</f>
        <v>1787.6376736296745</v>
      </c>
      <c r="G47" s="126" t="s">
        <v>103</v>
      </c>
    </row>
    <row r="48" spans="1:7" ht="15.75" x14ac:dyDescent="0.25">
      <c r="A48" s="122"/>
      <c r="B48" s="118" t="s">
        <v>129</v>
      </c>
      <c r="C48" s="118"/>
      <c r="D48" s="122"/>
      <c r="E48" s="147"/>
      <c r="F48" s="197">
        <f>F40+F44</f>
        <v>1868.8939315219322</v>
      </c>
      <c r="G48" s="126" t="s">
        <v>103</v>
      </c>
    </row>
    <row r="49" spans="1:7" ht="15.75" x14ac:dyDescent="0.25">
      <c r="A49" s="113"/>
      <c r="B49" s="113"/>
      <c r="C49" s="113"/>
      <c r="D49" s="144"/>
      <c r="E49" s="193"/>
      <c r="F49" s="194"/>
      <c r="G49" s="113"/>
    </row>
    <row r="50" spans="1:7" ht="15.75" x14ac:dyDescent="0.25">
      <c r="A50" s="31"/>
      <c r="B50" s="90" t="s">
        <v>56</v>
      </c>
      <c r="C50" s="90"/>
      <c r="D50" s="90"/>
      <c r="E50" s="31"/>
      <c r="F50" s="67" t="s">
        <v>58</v>
      </c>
      <c r="G50" s="31"/>
    </row>
    <row r="51" spans="1:7" ht="15.75" x14ac:dyDescent="0.25">
      <c r="A51" s="31"/>
      <c r="B51" s="91" t="s">
        <v>57</v>
      </c>
      <c r="C51" s="90"/>
      <c r="D51" s="90"/>
      <c r="E51" s="31"/>
      <c r="F51" s="42"/>
      <c r="G51" s="31"/>
    </row>
  </sheetData>
  <mergeCells count="7">
    <mergeCell ref="C24:D24"/>
    <mergeCell ref="A6:G6"/>
    <mergeCell ref="A7:G7"/>
    <mergeCell ref="A8:A9"/>
    <mergeCell ref="B8:E9"/>
    <mergeCell ref="F8:G8"/>
    <mergeCell ref="B14:C14"/>
  </mergeCells>
  <pageMargins left="0.25" right="0.25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0"/>
  <sheetViews>
    <sheetView topLeftCell="A10" workbookViewId="0">
      <selection activeCell="G17" sqref="G17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17" t="s">
        <v>376</v>
      </c>
      <c r="B1" s="317"/>
      <c r="C1" s="317"/>
      <c r="D1" s="317"/>
      <c r="E1" s="317"/>
      <c r="F1" s="317"/>
      <c r="G1" s="317"/>
    </row>
    <row r="2" spans="1:7" x14ac:dyDescent="0.25">
      <c r="A2" s="316" t="s">
        <v>135</v>
      </c>
      <c r="B2" s="316"/>
      <c r="C2" s="316"/>
      <c r="D2" s="316"/>
      <c r="E2" s="316"/>
      <c r="F2" s="316"/>
      <c r="G2" s="3"/>
    </row>
    <row r="3" spans="1:7" x14ac:dyDescent="0.25">
      <c r="A3" s="94"/>
      <c r="B3" s="5">
        <f>'План. расчет времени'!F61</f>
        <v>192.44738605898124</v>
      </c>
      <c r="C3" s="3" t="s">
        <v>136</v>
      </c>
      <c r="D3" s="3"/>
      <c r="E3" s="3"/>
      <c r="F3" s="3"/>
      <c r="G3" s="3"/>
    </row>
    <row r="4" spans="1:7" x14ac:dyDescent="0.25">
      <c r="A4" s="316" t="s">
        <v>137</v>
      </c>
      <c r="B4" s="316"/>
      <c r="C4" s="316"/>
      <c r="D4" s="316"/>
      <c r="E4" s="316"/>
      <c r="F4" s="316"/>
      <c r="G4" s="93"/>
    </row>
    <row r="5" spans="1:7" x14ac:dyDescent="0.25">
      <c r="A5" s="3"/>
      <c r="B5" s="3">
        <v>40</v>
      </c>
      <c r="C5" s="3" t="s">
        <v>136</v>
      </c>
      <c r="D5" s="3"/>
      <c r="E5" s="3"/>
      <c r="F5" s="3"/>
      <c r="G5" s="93"/>
    </row>
    <row r="6" spans="1:7" x14ac:dyDescent="0.25">
      <c r="A6" s="316" t="s">
        <v>377</v>
      </c>
      <c r="B6" s="316"/>
      <c r="C6" s="316"/>
      <c r="D6" s="316"/>
      <c r="E6" s="316"/>
      <c r="F6" s="316"/>
      <c r="G6" s="93"/>
    </row>
    <row r="7" spans="1:7" x14ac:dyDescent="0.25">
      <c r="A7" s="316" t="s">
        <v>139</v>
      </c>
      <c r="B7" s="316"/>
      <c r="C7" s="316"/>
      <c r="D7" s="316"/>
      <c r="E7" s="316"/>
      <c r="F7" s="316"/>
      <c r="G7" s="316"/>
    </row>
    <row r="8" spans="1:7" x14ac:dyDescent="0.25">
      <c r="A8" s="316" t="s">
        <v>378</v>
      </c>
      <c r="B8" s="316"/>
      <c r="C8" s="316"/>
      <c r="D8" s="3"/>
      <c r="E8" s="3" t="s">
        <v>136</v>
      </c>
      <c r="F8" s="3"/>
      <c r="G8" s="3"/>
    </row>
    <row r="9" spans="1:7" x14ac:dyDescent="0.25">
      <c r="A9" s="93"/>
      <c r="B9" s="93"/>
      <c r="C9" s="93"/>
      <c r="D9" s="3"/>
      <c r="E9" s="3"/>
      <c r="F9" s="3"/>
      <c r="G9" s="3"/>
    </row>
    <row r="10" spans="1:7" x14ac:dyDescent="0.25">
      <c r="A10" s="319" t="s">
        <v>141</v>
      </c>
      <c r="B10" s="319"/>
      <c r="C10" s="319"/>
      <c r="D10" s="5">
        <f>B3-B5-D8</f>
        <v>152.44738605898124</v>
      </c>
      <c r="E10" s="3" t="s">
        <v>136</v>
      </c>
      <c r="F10" s="3"/>
      <c r="G10" s="93"/>
    </row>
    <row r="11" spans="1:7" x14ac:dyDescent="0.25">
      <c r="A11" s="93"/>
      <c r="B11" s="93"/>
      <c r="C11" s="93"/>
      <c r="D11" s="93"/>
      <c r="E11" s="93"/>
      <c r="F11" s="93"/>
      <c r="G11" s="93"/>
    </row>
    <row r="12" spans="1:7" x14ac:dyDescent="0.25">
      <c r="A12" s="316" t="s">
        <v>142</v>
      </c>
      <c r="B12" s="316"/>
      <c r="C12" s="316"/>
      <c r="D12" s="316"/>
      <c r="E12" s="316"/>
      <c r="F12" s="3">
        <v>134980</v>
      </c>
      <c r="G12" s="3" t="s">
        <v>103</v>
      </c>
    </row>
    <row r="13" spans="1:7" x14ac:dyDescent="0.25">
      <c r="A13" s="93"/>
      <c r="B13" s="93"/>
      <c r="C13" s="3"/>
      <c r="D13" s="3"/>
      <c r="E13" s="3"/>
      <c r="F13" s="94"/>
      <c r="G13" s="94"/>
    </row>
    <row r="14" spans="1:7" ht="15.75" thickBot="1" x14ac:dyDescent="0.3">
      <c r="A14" s="375" t="s">
        <v>143</v>
      </c>
      <c r="B14" s="373" t="s">
        <v>144</v>
      </c>
      <c r="C14" s="373"/>
      <c r="D14" s="373"/>
      <c r="E14" s="3"/>
      <c r="F14" s="94"/>
      <c r="G14" s="94"/>
    </row>
    <row r="15" spans="1:7" x14ac:dyDescent="0.25">
      <c r="A15" s="375"/>
      <c r="B15" s="374" t="s">
        <v>145</v>
      </c>
      <c r="C15" s="374"/>
      <c r="D15" s="374"/>
      <c r="E15" s="3"/>
      <c r="F15" s="94"/>
      <c r="G15" s="94"/>
    </row>
    <row r="16" spans="1:7" x14ac:dyDescent="0.25">
      <c r="A16" s="99"/>
      <c r="B16" s="100"/>
      <c r="C16" s="100"/>
      <c r="D16" s="100"/>
      <c r="E16" s="3"/>
      <c r="F16" s="94"/>
      <c r="G16" s="94"/>
    </row>
    <row r="17" spans="1:7" ht="15.75" thickBot="1" x14ac:dyDescent="0.3">
      <c r="A17" s="372" t="s">
        <v>146</v>
      </c>
      <c r="B17" s="372"/>
      <c r="C17" s="373" t="s">
        <v>147</v>
      </c>
      <c r="D17" s="373"/>
      <c r="E17" s="373"/>
      <c r="F17" s="94"/>
      <c r="G17" s="94"/>
    </row>
    <row r="18" spans="1:7" x14ac:dyDescent="0.25">
      <c r="A18" s="372"/>
      <c r="B18" s="372"/>
      <c r="C18" s="374" t="s">
        <v>145</v>
      </c>
      <c r="D18" s="374"/>
      <c r="E18" s="374"/>
      <c r="F18" s="94"/>
      <c r="G18" s="94"/>
    </row>
    <row r="19" spans="1:7" x14ac:dyDescent="0.25">
      <c r="A19" s="9"/>
      <c r="B19" s="9"/>
      <c r="C19" s="101"/>
      <c r="D19" s="101"/>
      <c r="E19" s="101"/>
      <c r="F19" s="94"/>
      <c r="G19" s="94"/>
    </row>
    <row r="20" spans="1:7" x14ac:dyDescent="0.25">
      <c r="A20" s="9"/>
      <c r="B20" s="9"/>
      <c r="C20" s="101"/>
      <c r="D20" s="101"/>
      <c r="E20" s="320" t="s">
        <v>13</v>
      </c>
      <c r="F20" s="320"/>
      <c r="G20" s="94"/>
    </row>
    <row r="21" spans="1:7" x14ac:dyDescent="0.25">
      <c r="A21" s="321" t="s">
        <v>148</v>
      </c>
      <c r="B21" s="321"/>
      <c r="C21" s="321"/>
      <c r="D21" s="321"/>
      <c r="E21" s="321"/>
      <c r="F21" s="321"/>
      <c r="G21" s="94"/>
    </row>
    <row r="22" spans="1:7" x14ac:dyDescent="0.25">
      <c r="A22" s="377" t="s">
        <v>149</v>
      </c>
      <c r="B22" s="379" t="s">
        <v>16</v>
      </c>
      <c r="C22" s="380"/>
      <c r="D22" s="380"/>
      <c r="E22" s="381" t="s">
        <v>150</v>
      </c>
      <c r="F22" s="381"/>
      <c r="G22" s="102"/>
    </row>
    <row r="23" spans="1:7" ht="45" x14ac:dyDescent="0.25">
      <c r="A23" s="378"/>
      <c r="B23" s="103" t="s">
        <v>151</v>
      </c>
      <c r="C23" s="103" t="s">
        <v>152</v>
      </c>
      <c r="D23" s="104" t="s">
        <v>153</v>
      </c>
      <c r="E23" s="103" t="s">
        <v>154</v>
      </c>
      <c r="F23" s="103" t="s">
        <v>155</v>
      </c>
      <c r="G23" s="105"/>
    </row>
    <row r="24" spans="1:7" x14ac:dyDescent="0.25">
      <c r="A24" s="106" t="s">
        <v>49</v>
      </c>
      <c r="B24" s="107">
        <v>0</v>
      </c>
      <c r="C24" s="108">
        <f>F12</f>
        <v>134980</v>
      </c>
      <c r="D24" s="109">
        <f>D10</f>
        <v>152.44738605898124</v>
      </c>
      <c r="E24" s="108">
        <f>B24/D24</f>
        <v>0</v>
      </c>
      <c r="F24" s="107">
        <f>C24/D24</f>
        <v>885.4202324451586</v>
      </c>
      <c r="G24" s="12"/>
    </row>
    <row r="25" spans="1:7" x14ac:dyDescent="0.25">
      <c r="A25" s="94"/>
      <c r="B25" s="94"/>
      <c r="C25" s="94"/>
      <c r="D25" s="94"/>
      <c r="E25" s="94"/>
      <c r="F25" s="94"/>
      <c r="G25" s="94"/>
    </row>
    <row r="26" spans="1:7" x14ac:dyDescent="0.25">
      <c r="A26" s="94"/>
      <c r="B26" s="94"/>
      <c r="C26" s="94"/>
      <c r="D26" s="94"/>
      <c r="E26" s="94"/>
      <c r="F26" s="94"/>
      <c r="G26" s="94"/>
    </row>
    <row r="27" spans="1:7" x14ac:dyDescent="0.25">
      <c r="A27" s="94"/>
      <c r="B27" s="94"/>
      <c r="C27" s="94"/>
      <c r="D27" s="94"/>
      <c r="E27" s="94"/>
      <c r="F27" s="94"/>
      <c r="G27" s="94"/>
    </row>
    <row r="28" spans="1:7" x14ac:dyDescent="0.25">
      <c r="A28" s="94"/>
      <c r="B28" s="94"/>
      <c r="C28" s="94"/>
      <c r="D28" s="94"/>
      <c r="E28" s="94"/>
      <c r="F28" s="94"/>
      <c r="G28" s="94"/>
    </row>
    <row r="29" spans="1:7" ht="15.75" x14ac:dyDescent="0.25">
      <c r="A29" s="382" t="s">
        <v>56</v>
      </c>
      <c r="B29" s="382"/>
      <c r="C29" s="382"/>
      <c r="D29" s="31"/>
      <c r="E29" s="340" t="s">
        <v>58</v>
      </c>
      <c r="F29" s="340"/>
      <c r="G29" s="340"/>
    </row>
    <row r="30" spans="1:7" ht="15.75" x14ac:dyDescent="0.25">
      <c r="A30" s="376" t="s">
        <v>57</v>
      </c>
      <c r="B30" s="376"/>
      <c r="C30" s="376"/>
      <c r="D30" s="31"/>
      <c r="E30" s="31"/>
      <c r="F30" s="91"/>
      <c r="G30" s="31"/>
    </row>
  </sheetData>
  <mergeCells count="22">
    <mergeCell ref="A30:C30"/>
    <mergeCell ref="E20:F20"/>
    <mergeCell ref="A21:F21"/>
    <mergeCell ref="A22:A23"/>
    <mergeCell ref="B22:D22"/>
    <mergeCell ref="E22:F22"/>
    <mergeCell ref="A29:C29"/>
    <mergeCell ref="E29:G29"/>
    <mergeCell ref="A17:B18"/>
    <mergeCell ref="C17:E17"/>
    <mergeCell ref="C18:E18"/>
    <mergeCell ref="A1:G1"/>
    <mergeCell ref="A2:F2"/>
    <mergeCell ref="A4:F4"/>
    <mergeCell ref="A6:F6"/>
    <mergeCell ref="A7:G7"/>
    <mergeCell ref="A8:C8"/>
    <mergeCell ref="A10:C10"/>
    <mergeCell ref="A12:E12"/>
    <mergeCell ref="A14:A15"/>
    <mergeCell ref="B14:D14"/>
    <mergeCell ref="B15:D15"/>
  </mergeCell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51"/>
  <sheetViews>
    <sheetView topLeftCell="A4" workbookViewId="0">
      <selection activeCell="F11" sqref="F11:G11"/>
    </sheetView>
  </sheetViews>
  <sheetFormatPr defaultRowHeight="15" x14ac:dyDescent="0.25"/>
  <cols>
    <col min="1" max="1" width="4.5703125" customWidth="1"/>
    <col min="2" max="2" width="29.7109375" customWidth="1"/>
    <col min="3" max="3" width="7.7109375" customWidth="1"/>
    <col min="4" max="4" width="13.7109375" customWidth="1"/>
    <col min="5" max="5" width="8.42578125" customWidth="1"/>
    <col min="6" max="6" width="14.5703125" customWidth="1"/>
    <col min="7" max="7" width="1.5703125" customWidth="1"/>
    <col min="8" max="8" width="14.7109375" customWidth="1"/>
    <col min="9" max="9" width="2" customWidth="1"/>
  </cols>
  <sheetData>
    <row r="1" spans="1:9" ht="15.75" x14ac:dyDescent="0.25">
      <c r="A1" s="113"/>
      <c r="B1" s="113"/>
      <c r="C1" s="113"/>
      <c r="D1" s="144"/>
      <c r="E1" s="144"/>
      <c r="F1" s="117"/>
      <c r="G1" s="113"/>
      <c r="H1" s="117"/>
      <c r="I1" s="115" t="s">
        <v>167</v>
      </c>
    </row>
    <row r="2" spans="1:9" ht="15.75" x14ac:dyDescent="0.25">
      <c r="A2" s="113"/>
      <c r="B2" s="113"/>
      <c r="C2" s="113"/>
      <c r="D2" s="144"/>
      <c r="E2" s="144"/>
      <c r="F2" s="117"/>
      <c r="G2" s="113"/>
      <c r="H2" s="117"/>
      <c r="I2" s="115" t="s">
        <v>61</v>
      </c>
    </row>
    <row r="3" spans="1:9" ht="15.75" x14ac:dyDescent="0.25">
      <c r="A3" s="113"/>
      <c r="B3" s="113"/>
      <c r="C3" s="113"/>
      <c r="D3" s="144"/>
      <c r="E3" s="144"/>
      <c r="F3" s="117"/>
      <c r="G3" s="113"/>
      <c r="H3" s="117"/>
      <c r="I3" s="115" t="s">
        <v>414</v>
      </c>
    </row>
    <row r="4" spans="1:9" ht="15.75" x14ac:dyDescent="0.25">
      <c r="A4" s="113"/>
      <c r="B4" s="113"/>
      <c r="C4" s="113"/>
      <c r="D4" s="144"/>
      <c r="E4" s="144"/>
      <c r="F4" s="117"/>
      <c r="G4" s="113"/>
      <c r="H4" s="117"/>
      <c r="I4" s="115" t="s">
        <v>431</v>
      </c>
    </row>
    <row r="5" spans="1:9" ht="15.75" x14ac:dyDescent="0.25">
      <c r="A5" s="113"/>
      <c r="B5" s="113"/>
      <c r="C5" s="113"/>
      <c r="D5" s="144"/>
      <c r="E5" s="144"/>
      <c r="F5" s="117"/>
      <c r="G5" s="113"/>
      <c r="H5" s="117"/>
      <c r="I5" s="113"/>
    </row>
    <row r="6" spans="1:9" ht="15.75" x14ac:dyDescent="0.25">
      <c r="A6" s="394" t="s">
        <v>98</v>
      </c>
      <c r="B6" s="394"/>
      <c r="C6" s="394"/>
      <c r="D6" s="394"/>
      <c r="E6" s="394"/>
      <c r="F6" s="394"/>
      <c r="G6" s="394"/>
      <c r="H6" s="394"/>
      <c r="I6" s="394"/>
    </row>
    <row r="7" spans="1:9" ht="15.75" x14ac:dyDescent="0.25">
      <c r="A7" s="394" t="s">
        <v>379</v>
      </c>
      <c r="B7" s="394"/>
      <c r="C7" s="394"/>
      <c r="D7" s="394"/>
      <c r="E7" s="394"/>
      <c r="F7" s="394"/>
      <c r="G7" s="394"/>
      <c r="H7" s="394"/>
      <c r="I7" s="394"/>
    </row>
    <row r="8" spans="1:9" ht="15" customHeight="1" x14ac:dyDescent="0.25">
      <c r="A8" s="350" t="s">
        <v>14</v>
      </c>
      <c r="B8" s="388" t="s">
        <v>100</v>
      </c>
      <c r="C8" s="389"/>
      <c r="D8" s="389"/>
      <c r="E8" s="390"/>
      <c r="F8" s="388" t="s">
        <v>447</v>
      </c>
      <c r="G8" s="390"/>
      <c r="H8" s="388" t="s">
        <v>448</v>
      </c>
      <c r="I8" s="390"/>
    </row>
    <row r="9" spans="1:9" ht="15" customHeight="1" x14ac:dyDescent="0.25">
      <c r="A9" s="351"/>
      <c r="B9" s="391"/>
      <c r="C9" s="392"/>
      <c r="D9" s="392"/>
      <c r="E9" s="393"/>
      <c r="F9" s="391"/>
      <c r="G9" s="393"/>
      <c r="H9" s="391"/>
      <c r="I9" s="393"/>
    </row>
    <row r="10" spans="1:9" ht="15.75" x14ac:dyDescent="0.25">
      <c r="A10" s="118"/>
      <c r="B10" s="118" t="s">
        <v>158</v>
      </c>
      <c r="C10" s="118"/>
      <c r="D10" s="122"/>
      <c r="E10" s="122"/>
      <c r="F10" s="528">
        <v>62.85</v>
      </c>
      <c r="G10" s="529"/>
      <c r="H10" s="528">
        <f>F10</f>
        <v>62.85</v>
      </c>
      <c r="I10" s="529"/>
    </row>
    <row r="11" spans="1:9" ht="12" customHeight="1" x14ac:dyDescent="0.25">
      <c r="A11" s="118"/>
      <c r="B11" s="118"/>
      <c r="C11" s="118"/>
      <c r="D11" s="122"/>
      <c r="E11" s="122"/>
      <c r="F11" s="528"/>
      <c r="G11" s="529"/>
      <c r="H11" s="528"/>
      <c r="I11" s="529"/>
    </row>
    <row r="12" spans="1:9" ht="15.75" x14ac:dyDescent="0.25">
      <c r="A12" s="118"/>
      <c r="B12" s="118" t="s">
        <v>360</v>
      </c>
      <c r="C12" s="118"/>
      <c r="D12" s="122"/>
      <c r="E12" s="175">
        <v>0.25</v>
      </c>
      <c r="F12" s="528">
        <f>F10*E12</f>
        <v>15.7125</v>
      </c>
      <c r="G12" s="529"/>
      <c r="H12" s="528">
        <f>F12</f>
        <v>15.7125</v>
      </c>
      <c r="I12" s="529"/>
    </row>
    <row r="13" spans="1:9" ht="12" customHeight="1" x14ac:dyDescent="0.25">
      <c r="A13" s="118"/>
      <c r="B13" s="118"/>
      <c r="C13" s="118"/>
      <c r="D13" s="122"/>
      <c r="E13" s="122"/>
      <c r="F13" s="528"/>
      <c r="G13" s="529"/>
      <c r="H13" s="528"/>
      <c r="I13" s="529"/>
    </row>
    <row r="14" spans="1:9" ht="15.75" x14ac:dyDescent="0.25">
      <c r="A14" s="118"/>
      <c r="B14" s="118" t="s">
        <v>105</v>
      </c>
      <c r="C14" s="118"/>
      <c r="D14" s="122"/>
      <c r="E14" s="175">
        <v>0.1</v>
      </c>
      <c r="F14" s="528">
        <f>F10*E14</f>
        <v>6.2850000000000001</v>
      </c>
      <c r="G14" s="529"/>
      <c r="H14" s="528">
        <f>F14</f>
        <v>6.2850000000000001</v>
      </c>
      <c r="I14" s="529"/>
    </row>
    <row r="15" spans="1:9" ht="12" customHeight="1" x14ac:dyDescent="0.25">
      <c r="A15" s="118"/>
      <c r="B15" s="118"/>
      <c r="C15" s="118"/>
      <c r="D15" s="122"/>
      <c r="E15" s="122"/>
      <c r="F15" s="528"/>
      <c r="G15" s="529"/>
      <c r="H15" s="528"/>
      <c r="I15" s="529"/>
    </row>
    <row r="16" spans="1:9" ht="15.75" x14ac:dyDescent="0.25">
      <c r="A16" s="118"/>
      <c r="B16" s="118" t="s">
        <v>106</v>
      </c>
      <c r="C16" s="118"/>
      <c r="D16" s="122"/>
      <c r="E16" s="175">
        <v>0.4</v>
      </c>
      <c r="F16" s="528">
        <f>F10*E16</f>
        <v>25.14</v>
      </c>
      <c r="G16" s="529"/>
      <c r="H16" s="528">
        <f>F16</f>
        <v>25.14</v>
      </c>
      <c r="I16" s="529"/>
    </row>
    <row r="17" spans="1:9" ht="12" customHeight="1" x14ac:dyDescent="0.25">
      <c r="A17" s="118"/>
      <c r="B17" s="118"/>
      <c r="C17" s="118"/>
      <c r="D17" s="122"/>
      <c r="E17" s="175"/>
      <c r="F17" s="528"/>
      <c r="G17" s="529"/>
      <c r="H17" s="528"/>
      <c r="I17" s="529"/>
    </row>
    <row r="18" spans="1:9" ht="15.75" x14ac:dyDescent="0.25">
      <c r="A18" s="118"/>
      <c r="B18" s="118" t="s">
        <v>107</v>
      </c>
      <c r="C18" s="118"/>
      <c r="D18" s="122"/>
      <c r="E18" s="122"/>
      <c r="F18" s="528">
        <v>60</v>
      </c>
      <c r="G18" s="529"/>
      <c r="H18" s="528">
        <f>F18</f>
        <v>60</v>
      </c>
      <c r="I18" s="529"/>
    </row>
    <row r="19" spans="1:9" ht="12" customHeight="1" x14ac:dyDescent="0.25">
      <c r="A19" s="118"/>
      <c r="B19" s="118"/>
      <c r="C19" s="118"/>
      <c r="D19" s="122"/>
      <c r="E19" s="122"/>
      <c r="F19" s="528"/>
      <c r="G19" s="529"/>
      <c r="H19" s="528"/>
      <c r="I19" s="529"/>
    </row>
    <row r="20" spans="1:9" ht="15.75" x14ac:dyDescent="0.25">
      <c r="A20" s="126">
        <v>1</v>
      </c>
      <c r="B20" s="127" t="s">
        <v>109</v>
      </c>
      <c r="C20" s="127"/>
      <c r="D20" s="126"/>
      <c r="E20" s="126"/>
      <c r="F20" s="528">
        <f>F10+F12+F14+F16</f>
        <v>109.9875</v>
      </c>
      <c r="G20" s="529"/>
      <c r="H20" s="528">
        <f>F20</f>
        <v>109.9875</v>
      </c>
      <c r="I20" s="529"/>
    </row>
    <row r="21" spans="1:9" ht="12" customHeight="1" x14ac:dyDescent="0.25">
      <c r="A21" s="122"/>
      <c r="B21" s="118"/>
      <c r="C21" s="118"/>
      <c r="D21" s="122"/>
      <c r="E21" s="122"/>
      <c r="F21" s="528"/>
      <c r="G21" s="529"/>
      <c r="H21" s="528"/>
      <c r="I21" s="529"/>
    </row>
    <row r="22" spans="1:9" ht="15.75" x14ac:dyDescent="0.25">
      <c r="A22" s="126">
        <v>2</v>
      </c>
      <c r="B22" s="127" t="s">
        <v>110</v>
      </c>
      <c r="C22" s="127"/>
      <c r="D22" s="126"/>
      <c r="E22" s="177">
        <v>0.14199999999999999</v>
      </c>
      <c r="F22" s="528">
        <f>E22*F20</f>
        <v>15.618224999999999</v>
      </c>
      <c r="G22" s="529"/>
      <c r="H22" s="528">
        <f>F22</f>
        <v>15.618224999999999</v>
      </c>
      <c r="I22" s="529"/>
    </row>
    <row r="23" spans="1:9" ht="12" customHeight="1" x14ac:dyDescent="0.25">
      <c r="A23" s="122"/>
      <c r="B23" s="118"/>
      <c r="C23" s="118"/>
      <c r="D23" s="122"/>
      <c r="E23" s="175"/>
      <c r="F23" s="528"/>
      <c r="G23" s="529"/>
      <c r="H23" s="528"/>
      <c r="I23" s="529"/>
    </row>
    <row r="24" spans="1:9" ht="15.75" x14ac:dyDescent="0.25">
      <c r="A24" s="126">
        <v>3</v>
      </c>
      <c r="B24" s="127" t="s">
        <v>111</v>
      </c>
      <c r="C24" s="423" t="s">
        <v>200</v>
      </c>
      <c r="D24" s="424"/>
      <c r="E24" s="177"/>
      <c r="F24" s="528">
        <f>'[1]пробег Т-25'!E24</f>
        <v>0</v>
      </c>
      <c r="G24" s="529"/>
      <c r="H24" s="528">
        <f>F24</f>
        <v>0</v>
      </c>
      <c r="I24" s="529"/>
    </row>
    <row r="25" spans="1:9" ht="12" customHeight="1" x14ac:dyDescent="0.25">
      <c r="A25" s="122"/>
      <c r="B25" s="118"/>
      <c r="C25" s="118"/>
      <c r="D25" s="122"/>
      <c r="E25" s="175"/>
      <c r="F25" s="528"/>
      <c r="G25" s="529"/>
      <c r="H25" s="528"/>
      <c r="I25" s="529"/>
    </row>
    <row r="26" spans="1:9" ht="15.75" x14ac:dyDescent="0.25">
      <c r="A26" s="126">
        <v>4</v>
      </c>
      <c r="B26" s="127" t="s">
        <v>113</v>
      </c>
      <c r="C26" s="127"/>
      <c r="D26" s="126"/>
      <c r="E26" s="177"/>
      <c r="F26" s="528">
        <f>'Пробег Т-25'!F24</f>
        <v>53.218052608262418</v>
      </c>
      <c r="G26" s="529"/>
      <c r="H26" s="528">
        <f>F26</f>
        <v>53.218052608262418</v>
      </c>
      <c r="I26" s="529"/>
    </row>
    <row r="27" spans="1:9" ht="12" customHeight="1" x14ac:dyDescent="0.25">
      <c r="A27" s="122"/>
      <c r="B27" s="118"/>
      <c r="C27" s="118"/>
      <c r="D27" s="122"/>
      <c r="E27" s="179"/>
      <c r="F27" s="528"/>
      <c r="G27" s="529"/>
      <c r="H27" s="528"/>
      <c r="I27" s="529"/>
    </row>
    <row r="28" spans="1:9" ht="15.75" x14ac:dyDescent="0.25">
      <c r="A28" s="126">
        <v>5</v>
      </c>
      <c r="B28" s="127" t="s">
        <v>161</v>
      </c>
      <c r="C28" s="127"/>
      <c r="D28" s="126"/>
      <c r="E28" s="180"/>
      <c r="F28" s="528">
        <v>2.7</v>
      </c>
      <c r="G28" s="529"/>
      <c r="H28" s="528">
        <f>F28</f>
        <v>2.7</v>
      </c>
      <c r="I28" s="529"/>
    </row>
    <row r="29" spans="1:9" ht="15.75" customHeight="1" x14ac:dyDescent="0.25">
      <c r="A29" s="122"/>
      <c r="B29" s="118"/>
      <c r="C29" s="149" t="s">
        <v>380</v>
      </c>
      <c r="D29" s="122"/>
      <c r="E29" s="209">
        <v>18</v>
      </c>
      <c r="F29" s="528">
        <f>F28*E29</f>
        <v>48.6</v>
      </c>
      <c r="G29" s="529"/>
      <c r="H29" s="528"/>
      <c r="I29" s="529"/>
    </row>
    <row r="30" spans="1:9" ht="15.75" x14ac:dyDescent="0.25">
      <c r="A30" s="122"/>
      <c r="B30" s="118"/>
      <c r="C30" s="118"/>
      <c r="D30" s="122"/>
      <c r="E30" s="179"/>
      <c r="F30" s="528"/>
      <c r="G30" s="529"/>
      <c r="H30" s="528"/>
      <c r="I30" s="529"/>
    </row>
    <row r="31" spans="1:9" ht="15.75" x14ac:dyDescent="0.25">
      <c r="A31" s="126">
        <v>6</v>
      </c>
      <c r="B31" s="127" t="s">
        <v>117</v>
      </c>
      <c r="C31" s="270"/>
      <c r="D31" s="126"/>
      <c r="E31" s="271"/>
      <c r="F31" s="528"/>
      <c r="G31" s="529"/>
      <c r="H31" s="528"/>
      <c r="I31" s="529"/>
    </row>
    <row r="32" spans="1:9" ht="15.75" x14ac:dyDescent="0.25">
      <c r="A32" s="122"/>
      <c r="B32" s="118" t="s">
        <v>118</v>
      </c>
      <c r="C32" s="211">
        <v>3.2000000000000001E-2</v>
      </c>
      <c r="D32" s="187" t="s">
        <v>119</v>
      </c>
      <c r="E32" s="182">
        <v>142.72999999999999</v>
      </c>
      <c r="F32" s="528">
        <f>C32*$F$28*E32</f>
        <v>12.331872000000001</v>
      </c>
      <c r="G32" s="529"/>
      <c r="H32" s="528">
        <f>F32</f>
        <v>12.331872000000001</v>
      </c>
      <c r="I32" s="529"/>
    </row>
    <row r="33" spans="1:9" ht="15.75" x14ac:dyDescent="0.25">
      <c r="A33" s="122"/>
      <c r="B33" s="118" t="s">
        <v>120</v>
      </c>
      <c r="C33" s="211">
        <v>4.0000000000000001E-3</v>
      </c>
      <c r="D33" s="189" t="s">
        <v>121</v>
      </c>
      <c r="E33" s="182">
        <v>88.65</v>
      </c>
      <c r="F33" s="528">
        <f>C33*$F$28*E33</f>
        <v>0.95742000000000016</v>
      </c>
      <c r="G33" s="529"/>
      <c r="H33" s="528">
        <f>F33</f>
        <v>0.95742000000000016</v>
      </c>
      <c r="I33" s="529"/>
    </row>
    <row r="34" spans="1:9" ht="15.75" x14ac:dyDescent="0.25">
      <c r="A34" s="122"/>
      <c r="B34" s="118" t="s">
        <v>122</v>
      </c>
      <c r="C34" s="211">
        <v>1E-3</v>
      </c>
      <c r="D34" s="189" t="s">
        <v>121</v>
      </c>
      <c r="E34" s="182">
        <v>56.75</v>
      </c>
      <c r="F34" s="528">
        <f>C34*$F$28*E34</f>
        <v>0.153225</v>
      </c>
      <c r="G34" s="529"/>
      <c r="H34" s="528">
        <f>F34</f>
        <v>0.153225</v>
      </c>
      <c r="I34" s="529"/>
    </row>
    <row r="35" spans="1:9" ht="15.75" x14ac:dyDescent="0.25">
      <c r="A35" s="122"/>
      <c r="B35" s="118" t="s">
        <v>123</v>
      </c>
      <c r="C35" s="213">
        <v>3.0000000000000001E-3</v>
      </c>
      <c r="D35" s="190" t="s">
        <v>121</v>
      </c>
      <c r="E35" s="182">
        <v>100.17</v>
      </c>
      <c r="F35" s="528">
        <f>C35*$F$28*E35</f>
        <v>0.81137700000000013</v>
      </c>
      <c r="G35" s="529"/>
      <c r="H35" s="528">
        <f>F35</f>
        <v>0.81137700000000013</v>
      </c>
      <c r="I35" s="529"/>
    </row>
    <row r="36" spans="1:9" ht="15.75" x14ac:dyDescent="0.25">
      <c r="A36" s="122"/>
      <c r="B36" s="118" t="s">
        <v>124</v>
      </c>
      <c r="C36" s="127"/>
      <c r="D36" s="191"/>
      <c r="E36" s="180"/>
      <c r="F36" s="528">
        <f>SUM(F32:F35)</f>
        <v>14.253894000000003</v>
      </c>
      <c r="G36" s="529"/>
      <c r="H36" s="528">
        <f>SUM(H32:H35)</f>
        <v>14.253894000000003</v>
      </c>
      <c r="I36" s="529"/>
    </row>
    <row r="37" spans="1:9" ht="12.75" customHeight="1" x14ac:dyDescent="0.25">
      <c r="A37" s="122"/>
      <c r="B37" s="118"/>
      <c r="C37" s="118"/>
      <c r="D37" s="122"/>
      <c r="E37" s="218"/>
      <c r="F37" s="528"/>
      <c r="G37" s="529"/>
      <c r="H37" s="528"/>
      <c r="I37" s="529"/>
    </row>
    <row r="38" spans="1:9" ht="15.75" x14ac:dyDescent="0.25">
      <c r="A38" s="126">
        <v>7</v>
      </c>
      <c r="B38" s="127" t="s">
        <v>125</v>
      </c>
      <c r="C38" s="127"/>
      <c r="D38" s="126"/>
      <c r="E38" s="177">
        <v>0.62</v>
      </c>
      <c r="F38" s="528">
        <f>F20*E38</f>
        <v>68.192250000000001</v>
      </c>
      <c r="G38" s="529"/>
      <c r="H38" s="528">
        <f>F38</f>
        <v>68.192250000000001</v>
      </c>
      <c r="I38" s="529"/>
    </row>
    <row r="39" spans="1:9" ht="12.75" customHeight="1" x14ac:dyDescent="0.25">
      <c r="A39" s="122"/>
      <c r="B39" s="118"/>
      <c r="C39" s="118"/>
      <c r="D39" s="122"/>
      <c r="E39" s="175"/>
      <c r="F39" s="528"/>
      <c r="G39" s="529"/>
      <c r="H39" s="528"/>
      <c r="I39" s="529"/>
    </row>
    <row r="40" spans="1:9" ht="15.75" x14ac:dyDescent="0.25">
      <c r="A40" s="126">
        <v>8</v>
      </c>
      <c r="B40" s="127" t="s">
        <v>126</v>
      </c>
      <c r="C40" s="127"/>
      <c r="D40" s="126"/>
      <c r="E40" s="177"/>
      <c r="F40" s="528">
        <f>F20+F22+F24+F26+F29+F36+F38</f>
        <v>309.86992160826242</v>
      </c>
      <c r="G40" s="529"/>
      <c r="H40" s="528">
        <f>H20+H22+H24+H26+H36+H38</f>
        <v>261.26992160826239</v>
      </c>
      <c r="I40" s="529"/>
    </row>
    <row r="41" spans="1:9" ht="12.75" customHeight="1" x14ac:dyDescent="0.25">
      <c r="A41" s="126"/>
      <c r="B41" s="127"/>
      <c r="C41" s="127"/>
      <c r="D41" s="126"/>
      <c r="E41" s="177"/>
      <c r="F41" s="528"/>
      <c r="G41" s="529"/>
      <c r="H41" s="528"/>
      <c r="I41" s="529"/>
    </row>
    <row r="42" spans="1:9" ht="15.75" x14ac:dyDescent="0.25">
      <c r="A42" s="126">
        <v>9</v>
      </c>
      <c r="B42" s="127" t="s">
        <v>127</v>
      </c>
      <c r="C42" s="127"/>
      <c r="D42" s="126"/>
      <c r="E42" s="177"/>
      <c r="F42" s="528"/>
      <c r="G42" s="529"/>
      <c r="H42" s="528"/>
      <c r="I42" s="529"/>
    </row>
    <row r="43" spans="1:9" ht="15.75" x14ac:dyDescent="0.25">
      <c r="A43" s="122"/>
      <c r="B43" s="118" t="s">
        <v>128</v>
      </c>
      <c r="C43" s="118"/>
      <c r="D43" s="122"/>
      <c r="E43" s="175">
        <v>0.1</v>
      </c>
      <c r="F43" s="528">
        <f>F40*E43</f>
        <v>30.986992160826244</v>
      </c>
      <c r="G43" s="529"/>
      <c r="H43" s="528">
        <f>H40*E43</f>
        <v>26.126992160826241</v>
      </c>
      <c r="I43" s="529"/>
    </row>
    <row r="44" spans="1:9" ht="15.75" x14ac:dyDescent="0.25">
      <c r="A44" s="122"/>
      <c r="B44" s="118" t="s">
        <v>129</v>
      </c>
      <c r="C44" s="118"/>
      <c r="D44" s="122"/>
      <c r="E44" s="175">
        <v>0.15</v>
      </c>
      <c r="F44" s="528">
        <f>F40*E44</f>
        <v>46.480488241239364</v>
      </c>
      <c r="G44" s="529"/>
      <c r="H44" s="528">
        <f>H40*E44</f>
        <v>39.190488241239358</v>
      </c>
      <c r="I44" s="529"/>
    </row>
    <row r="45" spans="1:9" ht="12.75" customHeight="1" x14ac:dyDescent="0.25">
      <c r="A45" s="122"/>
      <c r="B45" s="118"/>
      <c r="C45" s="118"/>
      <c r="D45" s="122"/>
      <c r="E45" s="175"/>
      <c r="F45" s="528"/>
      <c r="G45" s="529"/>
      <c r="H45" s="528"/>
      <c r="I45" s="529"/>
    </row>
    <row r="46" spans="1:9" ht="15.75" x14ac:dyDescent="0.25">
      <c r="A46" s="126">
        <v>10</v>
      </c>
      <c r="B46" s="127" t="s">
        <v>130</v>
      </c>
      <c r="C46" s="127"/>
      <c r="D46" s="126"/>
      <c r="E46" s="177"/>
      <c r="F46" s="528"/>
      <c r="G46" s="529"/>
      <c r="H46" s="528"/>
      <c r="I46" s="529"/>
    </row>
    <row r="47" spans="1:9" ht="15.75" x14ac:dyDescent="0.25">
      <c r="A47" s="122"/>
      <c r="B47" s="118" t="s">
        <v>128</v>
      </c>
      <c r="C47" s="118"/>
      <c r="D47" s="122"/>
      <c r="E47" s="177"/>
      <c r="F47" s="528">
        <f>F40+F43</f>
        <v>340.85691376908864</v>
      </c>
      <c r="G47" s="529"/>
      <c r="H47" s="528">
        <f>H40+H43</f>
        <v>287.39691376908866</v>
      </c>
      <c r="I47" s="529"/>
    </row>
    <row r="48" spans="1:9" ht="15.75" x14ac:dyDescent="0.25">
      <c r="A48" s="122"/>
      <c r="B48" s="118" t="s">
        <v>129</v>
      </c>
      <c r="C48" s="118"/>
      <c r="D48" s="122"/>
      <c r="E48" s="177"/>
      <c r="F48" s="528">
        <f>F40+F44</f>
        <v>356.35040984950177</v>
      </c>
      <c r="G48" s="529"/>
      <c r="H48" s="528">
        <f>H40+H44</f>
        <v>300.46040984950173</v>
      </c>
      <c r="I48" s="529"/>
    </row>
    <row r="49" spans="1:9" ht="15.75" x14ac:dyDescent="0.25">
      <c r="A49" s="113"/>
      <c r="B49" s="113"/>
      <c r="C49" s="113"/>
      <c r="D49" s="144"/>
      <c r="E49" s="144"/>
      <c r="F49" s="117"/>
      <c r="G49" s="113"/>
      <c r="H49" s="117"/>
      <c r="I49" s="113"/>
    </row>
    <row r="50" spans="1:9" ht="15.75" x14ac:dyDescent="0.25">
      <c r="A50" s="113"/>
      <c r="B50" s="382" t="s">
        <v>56</v>
      </c>
      <c r="C50" s="382"/>
      <c r="D50" s="382"/>
      <c r="E50" s="31"/>
      <c r="F50" s="340" t="s">
        <v>58</v>
      </c>
      <c r="G50" s="340"/>
      <c r="H50" s="340"/>
      <c r="I50" s="113"/>
    </row>
    <row r="51" spans="1:9" ht="15.75" x14ac:dyDescent="0.25">
      <c r="A51" s="113"/>
      <c r="B51" s="376" t="s">
        <v>57</v>
      </c>
      <c r="C51" s="376"/>
      <c r="D51" s="376"/>
      <c r="E51" s="31"/>
      <c r="F51" s="31"/>
      <c r="G51" s="91"/>
      <c r="H51" s="31"/>
      <c r="I51" s="113"/>
    </row>
  </sheetData>
  <mergeCells count="88">
    <mergeCell ref="C24:D24"/>
    <mergeCell ref="B50:D50"/>
    <mergeCell ref="F50:H50"/>
    <mergeCell ref="B51:D51"/>
    <mergeCell ref="A6:I6"/>
    <mergeCell ref="A7:I7"/>
    <mergeCell ref="A8:A9"/>
    <mergeCell ref="B8:E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42:G42"/>
    <mergeCell ref="F43:G43"/>
    <mergeCell ref="F44:G44"/>
    <mergeCell ref="F45:G45"/>
    <mergeCell ref="F36:G36"/>
    <mergeCell ref="F37:G37"/>
    <mergeCell ref="F38:G38"/>
    <mergeCell ref="F39:G39"/>
    <mergeCell ref="F40:G40"/>
    <mergeCell ref="F46:G46"/>
    <mergeCell ref="F47:G47"/>
    <mergeCell ref="F48:G48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F41:G41"/>
    <mergeCell ref="H22:I22"/>
    <mergeCell ref="H23:I23"/>
    <mergeCell ref="H24:I24"/>
    <mergeCell ref="H25:I25"/>
    <mergeCell ref="H26:I26"/>
    <mergeCell ref="H34:I34"/>
    <mergeCell ref="H35:I35"/>
    <mergeCell ref="H36:I36"/>
    <mergeCell ref="H27:I27"/>
    <mergeCell ref="H28:I28"/>
    <mergeCell ref="H29:I29"/>
    <mergeCell ref="H30:I30"/>
    <mergeCell ref="H31:I31"/>
    <mergeCell ref="H47:I47"/>
    <mergeCell ref="H48:I48"/>
    <mergeCell ref="F8:G9"/>
    <mergeCell ref="H8:I9"/>
    <mergeCell ref="H42:I42"/>
    <mergeCell ref="H43:I43"/>
    <mergeCell ref="H44:I44"/>
    <mergeCell ref="H45:I45"/>
    <mergeCell ref="H46:I46"/>
    <mergeCell ref="H37:I37"/>
    <mergeCell ref="H38:I38"/>
    <mergeCell ref="H39:I39"/>
    <mergeCell ref="H40:I40"/>
    <mergeCell ref="H41:I41"/>
    <mergeCell ref="H32:I32"/>
    <mergeCell ref="H33:I33"/>
  </mergeCells>
  <pageMargins left="0.25" right="0.25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1"/>
  <sheetViews>
    <sheetView topLeftCell="A10" workbookViewId="0">
      <selection activeCell="G18" sqref="G18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17" t="s">
        <v>381</v>
      </c>
      <c r="B1" s="317"/>
      <c r="C1" s="317"/>
      <c r="D1" s="317"/>
      <c r="E1" s="317"/>
      <c r="F1" s="317"/>
      <c r="G1" s="317"/>
    </row>
    <row r="2" spans="1:7" x14ac:dyDescent="0.25">
      <c r="A2" s="316" t="s">
        <v>135</v>
      </c>
      <c r="B2" s="316"/>
      <c r="C2" s="316"/>
      <c r="D2" s="316"/>
      <c r="E2" s="316"/>
      <c r="F2" s="316"/>
      <c r="G2" s="3"/>
    </row>
    <row r="3" spans="1:7" x14ac:dyDescent="0.25">
      <c r="A3" s="94"/>
      <c r="B3" s="5">
        <f>[1]Лист2!E72</f>
        <v>572.15025000000003</v>
      </c>
      <c r="C3" s="3" t="s">
        <v>136</v>
      </c>
      <c r="D3" s="3"/>
      <c r="E3" s="3"/>
      <c r="F3" s="3"/>
      <c r="G3" s="3"/>
    </row>
    <row r="4" spans="1:7" x14ac:dyDescent="0.25">
      <c r="A4" s="316" t="s">
        <v>137</v>
      </c>
      <c r="B4" s="316"/>
      <c r="C4" s="316"/>
      <c r="D4" s="316"/>
      <c r="E4" s="316"/>
      <c r="F4" s="316"/>
      <c r="G4" s="93"/>
    </row>
    <row r="5" spans="1:7" x14ac:dyDescent="0.25">
      <c r="A5" s="3"/>
      <c r="B5" s="3">
        <v>40</v>
      </c>
      <c r="C5" s="3" t="s">
        <v>136</v>
      </c>
      <c r="D5" s="3"/>
      <c r="E5" s="3"/>
      <c r="F5" s="3"/>
      <c r="G5" s="93"/>
    </row>
    <row r="6" spans="1:7" x14ac:dyDescent="0.25">
      <c r="A6" s="316" t="s">
        <v>382</v>
      </c>
      <c r="B6" s="316"/>
      <c r="C6" s="316"/>
      <c r="D6" s="316"/>
      <c r="E6" s="316"/>
      <c r="F6" s="316"/>
      <c r="G6" s="93"/>
    </row>
    <row r="7" spans="1:7" x14ac:dyDescent="0.25">
      <c r="A7" s="316" t="s">
        <v>139</v>
      </c>
      <c r="B7" s="316"/>
      <c r="C7" s="316"/>
      <c r="D7" s="316"/>
      <c r="E7" s="316"/>
      <c r="F7" s="316"/>
      <c r="G7" s="316"/>
    </row>
    <row r="8" spans="1:7" x14ac:dyDescent="0.25">
      <c r="A8" s="316" t="s">
        <v>217</v>
      </c>
      <c r="B8" s="316"/>
      <c r="C8" s="316"/>
      <c r="D8" s="316"/>
      <c r="E8" s="316"/>
      <c r="F8" s="316"/>
      <c r="G8" s="3"/>
    </row>
    <row r="9" spans="1:7" x14ac:dyDescent="0.25">
      <c r="A9" s="93"/>
      <c r="B9" s="93"/>
      <c r="C9" s="93"/>
      <c r="D9" s="3"/>
      <c r="E9" s="3" t="s">
        <v>136</v>
      </c>
      <c r="F9" s="3"/>
      <c r="G9" s="3"/>
    </row>
    <row r="10" spans="1:7" x14ac:dyDescent="0.25">
      <c r="A10" s="319" t="s">
        <v>141</v>
      </c>
      <c r="B10" s="319"/>
      <c r="C10" s="319"/>
      <c r="D10" s="5">
        <f>B3-B5-D9</f>
        <v>532.15025000000003</v>
      </c>
      <c r="E10" s="3" t="s">
        <v>136</v>
      </c>
      <c r="F10" s="3"/>
      <c r="G10" s="93"/>
    </row>
    <row r="11" spans="1:7" x14ac:dyDescent="0.25">
      <c r="A11" s="93"/>
      <c r="B11" s="93"/>
      <c r="C11" s="93"/>
      <c r="D11" s="93"/>
      <c r="E11" s="93"/>
      <c r="F11" s="93"/>
      <c r="G11" s="93"/>
    </row>
    <row r="12" spans="1:7" x14ac:dyDescent="0.25">
      <c r="A12" s="316" t="s">
        <v>142</v>
      </c>
      <c r="B12" s="316"/>
      <c r="C12" s="316"/>
      <c r="D12" s="316"/>
      <c r="E12" s="316"/>
      <c r="F12" s="3">
        <v>28320</v>
      </c>
      <c r="G12" s="3" t="s">
        <v>103</v>
      </c>
    </row>
    <row r="13" spans="1:7" x14ac:dyDescent="0.25">
      <c r="A13" s="93"/>
      <c r="B13" s="93"/>
      <c r="C13" s="3"/>
      <c r="D13" s="3"/>
      <c r="E13" s="3"/>
      <c r="F13" s="94"/>
      <c r="G13" s="94"/>
    </row>
    <row r="14" spans="1:7" ht="15.75" thickBot="1" x14ac:dyDescent="0.3">
      <c r="A14" s="375" t="s">
        <v>143</v>
      </c>
      <c r="B14" s="373" t="s">
        <v>144</v>
      </c>
      <c r="C14" s="373"/>
      <c r="D14" s="373"/>
      <c r="E14" s="3"/>
      <c r="F14" s="94"/>
      <c r="G14" s="94"/>
    </row>
    <row r="15" spans="1:7" x14ac:dyDescent="0.25">
      <c r="A15" s="375"/>
      <c r="B15" s="374" t="s">
        <v>145</v>
      </c>
      <c r="C15" s="374"/>
      <c r="D15" s="374"/>
      <c r="E15" s="3"/>
      <c r="F15" s="94"/>
      <c r="G15" s="94"/>
    </row>
    <row r="16" spans="1:7" x14ac:dyDescent="0.25">
      <c r="A16" s="99"/>
      <c r="B16" s="100"/>
      <c r="C16" s="100"/>
      <c r="D16" s="100"/>
      <c r="E16" s="3"/>
      <c r="F16" s="94"/>
      <c r="G16" s="94"/>
    </row>
    <row r="17" spans="1:7" ht="15.75" thickBot="1" x14ac:dyDescent="0.3">
      <c r="A17" s="372" t="s">
        <v>146</v>
      </c>
      <c r="B17" s="372"/>
      <c r="C17" s="373" t="s">
        <v>147</v>
      </c>
      <c r="D17" s="373"/>
      <c r="E17" s="373"/>
      <c r="F17" s="94"/>
      <c r="G17" s="94"/>
    </row>
    <row r="18" spans="1:7" x14ac:dyDescent="0.25">
      <c r="A18" s="372"/>
      <c r="B18" s="372"/>
      <c r="C18" s="374" t="s">
        <v>145</v>
      </c>
      <c r="D18" s="374"/>
      <c r="E18" s="374"/>
      <c r="F18" s="94"/>
      <c r="G18" s="94"/>
    </row>
    <row r="19" spans="1:7" x14ac:dyDescent="0.25">
      <c r="A19" s="9"/>
      <c r="B19" s="9"/>
      <c r="C19" s="101"/>
      <c r="D19" s="101"/>
      <c r="E19" s="101"/>
      <c r="F19" s="94"/>
      <c r="G19" s="94"/>
    </row>
    <row r="20" spans="1:7" x14ac:dyDescent="0.25">
      <c r="A20" s="9"/>
      <c r="B20" s="9"/>
      <c r="C20" s="101"/>
      <c r="D20" s="101"/>
      <c r="E20" s="320" t="s">
        <v>13</v>
      </c>
      <c r="F20" s="320"/>
      <c r="G20" s="94"/>
    </row>
    <row r="21" spans="1:7" x14ac:dyDescent="0.25">
      <c r="A21" s="321" t="s">
        <v>148</v>
      </c>
      <c r="B21" s="321"/>
      <c r="C21" s="321"/>
      <c r="D21" s="321"/>
      <c r="E21" s="321"/>
      <c r="F21" s="321"/>
      <c r="G21" s="94"/>
    </row>
    <row r="22" spans="1:7" x14ac:dyDescent="0.25">
      <c r="A22" s="377" t="s">
        <v>149</v>
      </c>
      <c r="B22" s="379" t="s">
        <v>16</v>
      </c>
      <c r="C22" s="380"/>
      <c r="D22" s="380"/>
      <c r="E22" s="381" t="s">
        <v>150</v>
      </c>
      <c r="F22" s="381"/>
      <c r="G22" s="102"/>
    </row>
    <row r="23" spans="1:7" ht="45" x14ac:dyDescent="0.25">
      <c r="A23" s="378"/>
      <c r="B23" s="103" t="s">
        <v>151</v>
      </c>
      <c r="C23" s="103" t="s">
        <v>152</v>
      </c>
      <c r="D23" s="104" t="s">
        <v>153</v>
      </c>
      <c r="E23" s="103" t="s">
        <v>154</v>
      </c>
      <c r="F23" s="103" t="s">
        <v>155</v>
      </c>
      <c r="G23" s="105"/>
    </row>
    <row r="24" spans="1:7" x14ac:dyDescent="0.25">
      <c r="A24" s="106" t="s">
        <v>50</v>
      </c>
      <c r="B24" s="107">
        <v>0</v>
      </c>
      <c r="C24" s="108">
        <f>F12</f>
        <v>28320</v>
      </c>
      <c r="D24" s="109">
        <f>D10</f>
        <v>532.15025000000003</v>
      </c>
      <c r="E24" s="108">
        <f>B24/D24</f>
        <v>0</v>
      </c>
      <c r="F24" s="107">
        <f>C24/D24</f>
        <v>53.218052608262418</v>
      </c>
      <c r="G24" s="12"/>
    </row>
    <row r="25" spans="1:7" x14ac:dyDescent="0.25">
      <c r="A25" s="94"/>
      <c r="B25" s="94"/>
      <c r="C25" s="94"/>
      <c r="D25" s="94"/>
      <c r="E25" s="94"/>
      <c r="F25" s="94"/>
      <c r="G25" s="94"/>
    </row>
    <row r="26" spans="1:7" x14ac:dyDescent="0.25">
      <c r="A26" s="94"/>
      <c r="B26" s="94"/>
      <c r="C26" s="94"/>
      <c r="D26" s="94"/>
      <c r="E26" s="94"/>
      <c r="F26" s="94"/>
      <c r="G26" s="94"/>
    </row>
    <row r="27" spans="1:7" x14ac:dyDescent="0.25">
      <c r="A27" s="94"/>
      <c r="B27" s="94"/>
      <c r="C27" s="94"/>
      <c r="D27" s="94"/>
      <c r="E27" s="94"/>
      <c r="F27" s="94"/>
      <c r="G27" s="94"/>
    </row>
    <row r="28" spans="1:7" x14ac:dyDescent="0.25">
      <c r="A28" s="94"/>
      <c r="B28" s="94"/>
      <c r="C28" s="94"/>
      <c r="D28" s="94"/>
      <c r="E28" s="94"/>
      <c r="F28" s="94"/>
      <c r="G28" s="94"/>
    </row>
    <row r="29" spans="1:7" ht="15.75" x14ac:dyDescent="0.25">
      <c r="A29" s="382" t="s">
        <v>56</v>
      </c>
      <c r="B29" s="382"/>
      <c r="C29" s="382"/>
      <c r="D29" s="31"/>
      <c r="E29" s="340" t="s">
        <v>58</v>
      </c>
      <c r="F29" s="340"/>
      <c r="G29" s="340"/>
    </row>
    <row r="30" spans="1:7" ht="15.75" x14ac:dyDescent="0.25">
      <c r="A30" s="376" t="s">
        <v>57</v>
      </c>
      <c r="B30" s="376"/>
      <c r="C30" s="376"/>
      <c r="D30" s="31"/>
      <c r="E30" s="31"/>
      <c r="F30" s="91"/>
      <c r="G30" s="31"/>
    </row>
    <row r="31" spans="1:7" x14ac:dyDescent="0.25">
      <c r="A31" s="94"/>
      <c r="B31" s="94"/>
      <c r="C31" s="94"/>
      <c r="D31" s="94"/>
      <c r="E31" s="94"/>
      <c r="F31" s="94"/>
      <c r="G31" s="94"/>
    </row>
  </sheetData>
  <mergeCells count="22">
    <mergeCell ref="A30:C30"/>
    <mergeCell ref="E20:F20"/>
    <mergeCell ref="A21:F21"/>
    <mergeCell ref="A22:A23"/>
    <mergeCell ref="B22:D22"/>
    <mergeCell ref="E22:F22"/>
    <mergeCell ref="A29:C29"/>
    <mergeCell ref="E29:G29"/>
    <mergeCell ref="A17:B18"/>
    <mergeCell ref="C17:E17"/>
    <mergeCell ref="C18:E18"/>
    <mergeCell ref="A1:G1"/>
    <mergeCell ref="A2:F2"/>
    <mergeCell ref="A4:F4"/>
    <mergeCell ref="A6:F6"/>
    <mergeCell ref="A7:G7"/>
    <mergeCell ref="A8:F8"/>
    <mergeCell ref="A10:C10"/>
    <mergeCell ref="A12:E12"/>
    <mergeCell ref="A14:A15"/>
    <mergeCell ref="B14:D14"/>
    <mergeCell ref="B15:D15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7"/>
  <sheetViews>
    <sheetView topLeftCell="A19" workbookViewId="0">
      <selection activeCell="L11" sqref="L11"/>
    </sheetView>
  </sheetViews>
  <sheetFormatPr defaultRowHeight="15" x14ac:dyDescent="0.25"/>
  <cols>
    <col min="1" max="1" width="5.42578125" customWidth="1"/>
    <col min="2" max="2" width="29.42578125" customWidth="1"/>
    <col min="3" max="3" width="7.28515625" customWidth="1"/>
    <col min="4" max="4" width="14.28515625" customWidth="1"/>
    <col min="5" max="5" width="8" customWidth="1"/>
    <col min="6" max="6" width="17" customWidth="1"/>
    <col min="7" max="7" width="7.85546875" customWidth="1"/>
  </cols>
  <sheetData>
    <row r="1" spans="1:7" ht="15.75" x14ac:dyDescent="0.25">
      <c r="A1" s="113"/>
      <c r="B1" s="113"/>
      <c r="C1" s="161"/>
      <c r="D1" s="117"/>
      <c r="E1" s="113"/>
      <c r="F1" s="117"/>
      <c r="G1" s="115" t="s">
        <v>167</v>
      </c>
    </row>
    <row r="2" spans="1:7" ht="15.75" x14ac:dyDescent="0.25">
      <c r="A2" s="113"/>
      <c r="B2" s="113"/>
      <c r="C2" s="161"/>
      <c r="D2" s="117"/>
      <c r="E2" s="113"/>
      <c r="F2" s="117"/>
      <c r="G2" s="115" t="s">
        <v>61</v>
      </c>
    </row>
    <row r="3" spans="1:7" ht="15.75" x14ac:dyDescent="0.25">
      <c r="A3" s="113"/>
      <c r="B3" s="113"/>
      <c r="C3" s="161"/>
      <c r="D3" s="117"/>
      <c r="E3" s="113"/>
      <c r="F3" s="117"/>
      <c r="G3" s="115" t="s">
        <v>416</v>
      </c>
    </row>
    <row r="4" spans="1:7" ht="15.75" x14ac:dyDescent="0.25">
      <c r="A4" s="113"/>
      <c r="B4" s="113"/>
      <c r="C4" s="161"/>
      <c r="D4" s="117"/>
      <c r="E4" s="113"/>
      <c r="F4" s="117"/>
      <c r="G4" s="115" t="s">
        <v>432</v>
      </c>
    </row>
    <row r="5" spans="1:7" ht="15.75" x14ac:dyDescent="0.25">
      <c r="A5" s="113"/>
      <c r="B5" s="113"/>
      <c r="C5" s="161"/>
      <c r="D5" s="113"/>
      <c r="E5" s="113"/>
      <c r="F5" s="117"/>
      <c r="G5" s="113"/>
    </row>
    <row r="6" spans="1:7" ht="15.75" x14ac:dyDescent="0.25">
      <c r="A6" s="394" t="s">
        <v>98</v>
      </c>
      <c r="B6" s="394"/>
      <c r="C6" s="394"/>
      <c r="D6" s="394"/>
      <c r="E6" s="394"/>
      <c r="F6" s="394"/>
      <c r="G6" s="394"/>
    </row>
    <row r="7" spans="1:7" ht="15.75" x14ac:dyDescent="0.25">
      <c r="A7" s="394" t="s">
        <v>383</v>
      </c>
      <c r="B7" s="394"/>
      <c r="C7" s="394"/>
      <c r="D7" s="394"/>
      <c r="E7" s="394"/>
      <c r="F7" s="394"/>
      <c r="G7" s="394"/>
    </row>
    <row r="8" spans="1:7" x14ac:dyDescent="0.25">
      <c r="A8" s="350" t="s">
        <v>14</v>
      </c>
      <c r="B8" s="388" t="s">
        <v>100</v>
      </c>
      <c r="C8" s="389"/>
      <c r="D8" s="389"/>
      <c r="E8" s="390"/>
      <c r="F8" s="354" t="s">
        <v>101</v>
      </c>
      <c r="G8" s="354"/>
    </row>
    <row r="9" spans="1:7" x14ac:dyDescent="0.25">
      <c r="A9" s="351"/>
      <c r="B9" s="391"/>
      <c r="C9" s="392"/>
      <c r="D9" s="392"/>
      <c r="E9" s="393"/>
      <c r="F9" s="70" t="s">
        <v>102</v>
      </c>
      <c r="G9" s="97" t="s">
        <v>64</v>
      </c>
    </row>
    <row r="10" spans="1:7" ht="15.75" x14ac:dyDescent="0.25">
      <c r="A10" s="126">
        <v>1</v>
      </c>
      <c r="B10" s="127" t="s">
        <v>111</v>
      </c>
      <c r="C10" s="423" t="s">
        <v>112</v>
      </c>
      <c r="D10" s="530"/>
      <c r="E10" s="424"/>
      <c r="F10" s="130">
        <v>0</v>
      </c>
      <c r="G10" s="126" t="s">
        <v>103</v>
      </c>
    </row>
    <row r="11" spans="1:7" ht="15.75" x14ac:dyDescent="0.25">
      <c r="A11" s="122"/>
      <c r="B11" s="118"/>
      <c r="C11" s="124"/>
      <c r="D11" s="118"/>
      <c r="E11" s="147"/>
      <c r="F11" s="121"/>
      <c r="G11" s="122"/>
    </row>
    <row r="12" spans="1:7" ht="15.75" x14ac:dyDescent="0.25">
      <c r="A12" s="126">
        <v>2</v>
      </c>
      <c r="B12" s="127" t="s">
        <v>113</v>
      </c>
      <c r="C12" s="162"/>
      <c r="D12" s="127"/>
      <c r="E12" s="148"/>
      <c r="F12" s="130">
        <v>69.69</v>
      </c>
      <c r="G12" s="126" t="s">
        <v>103</v>
      </c>
    </row>
    <row r="13" spans="1:7" ht="15.75" x14ac:dyDescent="0.25">
      <c r="A13" s="122"/>
      <c r="B13" s="118"/>
      <c r="C13" s="124"/>
      <c r="D13" s="118"/>
      <c r="E13" s="147"/>
      <c r="F13" s="121"/>
      <c r="G13" s="122"/>
    </row>
    <row r="14" spans="1:7" ht="15.75" x14ac:dyDescent="0.25">
      <c r="A14" s="126">
        <v>3</v>
      </c>
      <c r="B14" s="127" t="s">
        <v>178</v>
      </c>
      <c r="C14" s="162"/>
      <c r="D14" s="127"/>
      <c r="E14" s="130"/>
      <c r="F14" s="133">
        <v>2.5</v>
      </c>
      <c r="G14" s="122" t="s">
        <v>116</v>
      </c>
    </row>
    <row r="15" spans="1:7" ht="15.75" x14ac:dyDescent="0.25">
      <c r="A15" s="122"/>
      <c r="B15" s="118"/>
      <c r="C15" s="149" t="s">
        <v>384</v>
      </c>
      <c r="D15" s="118"/>
      <c r="E15" s="117">
        <v>32</v>
      </c>
      <c r="F15" s="135">
        <f>F14*E15</f>
        <v>80</v>
      </c>
      <c r="G15" s="126" t="s">
        <v>103</v>
      </c>
    </row>
    <row r="16" spans="1:7" ht="15.75" x14ac:dyDescent="0.25">
      <c r="A16" s="122"/>
      <c r="B16" s="118"/>
      <c r="C16" s="124"/>
      <c r="D16" s="118"/>
      <c r="E16" s="121"/>
      <c r="F16" s="121"/>
      <c r="G16" s="122"/>
    </row>
    <row r="17" spans="1:7" ht="15.75" x14ac:dyDescent="0.25">
      <c r="A17" s="126">
        <v>4</v>
      </c>
      <c r="B17" s="127" t="s">
        <v>117</v>
      </c>
      <c r="C17" s="162"/>
      <c r="D17" s="127"/>
      <c r="E17" s="164"/>
      <c r="F17" s="130"/>
      <c r="G17" s="126"/>
    </row>
    <row r="18" spans="1:7" ht="15.75" x14ac:dyDescent="0.25">
      <c r="A18" s="122"/>
      <c r="B18" s="118" t="s">
        <v>118</v>
      </c>
      <c r="C18" s="272">
        <v>3.2000000000000001E-2</v>
      </c>
      <c r="D18" s="166" t="s">
        <v>121</v>
      </c>
      <c r="E18" s="167">
        <v>142.72999999999999</v>
      </c>
      <c r="F18" s="121">
        <f>C18*$F$14*E18</f>
        <v>11.4184</v>
      </c>
      <c r="G18" s="122" t="s">
        <v>103</v>
      </c>
    </row>
    <row r="19" spans="1:7" ht="15.75" x14ac:dyDescent="0.25">
      <c r="A19" s="122"/>
      <c r="B19" s="118" t="s">
        <v>120</v>
      </c>
      <c r="C19" s="272">
        <v>4.0000000000000001E-3</v>
      </c>
      <c r="D19" s="168" t="s">
        <v>121</v>
      </c>
      <c r="E19" s="167">
        <v>88.65</v>
      </c>
      <c r="F19" s="121">
        <f>C19*$F$14*E19</f>
        <v>0.88650000000000007</v>
      </c>
      <c r="G19" s="122" t="s">
        <v>103</v>
      </c>
    </row>
    <row r="20" spans="1:7" ht="15.75" x14ac:dyDescent="0.25">
      <c r="A20" s="122"/>
      <c r="B20" s="118" t="s">
        <v>122</v>
      </c>
      <c r="C20" s="272">
        <v>1E-3</v>
      </c>
      <c r="D20" s="168" t="s">
        <v>121</v>
      </c>
      <c r="E20" s="167">
        <v>56.75</v>
      </c>
      <c r="F20" s="121">
        <f>C20*$F$14*E20</f>
        <v>0.141875</v>
      </c>
      <c r="G20" s="122" t="s">
        <v>103</v>
      </c>
    </row>
    <row r="21" spans="1:7" ht="15.75" x14ac:dyDescent="0.25">
      <c r="A21" s="122"/>
      <c r="B21" s="118" t="s">
        <v>123</v>
      </c>
      <c r="C21" s="273">
        <v>3.0000000000000001E-3</v>
      </c>
      <c r="D21" s="170" t="s">
        <v>121</v>
      </c>
      <c r="E21" s="167">
        <v>100.17</v>
      </c>
      <c r="F21" s="121">
        <f>C21*$F$14*E21</f>
        <v>0.75127500000000003</v>
      </c>
      <c r="G21" s="122" t="s">
        <v>103</v>
      </c>
    </row>
    <row r="22" spans="1:7" ht="15.75" x14ac:dyDescent="0.25">
      <c r="A22" s="122"/>
      <c r="B22" s="118" t="s">
        <v>124</v>
      </c>
      <c r="C22" s="162"/>
      <c r="D22" s="171"/>
      <c r="E22" s="130"/>
      <c r="F22" s="130">
        <f>SUM(F18:F21)</f>
        <v>13.19805</v>
      </c>
      <c r="G22" s="126" t="s">
        <v>103</v>
      </c>
    </row>
    <row r="23" spans="1:7" ht="15.75" x14ac:dyDescent="0.25">
      <c r="A23" s="122"/>
      <c r="B23" s="118"/>
      <c r="C23" s="124"/>
      <c r="D23" s="118"/>
      <c r="E23" s="147"/>
      <c r="F23" s="121"/>
      <c r="G23" s="122"/>
    </row>
    <row r="24" spans="1:7" ht="15.75" x14ac:dyDescent="0.25">
      <c r="A24" s="122"/>
      <c r="B24" s="118"/>
      <c r="C24" s="124"/>
      <c r="D24" s="118"/>
      <c r="E24" s="147"/>
      <c r="F24" s="121"/>
      <c r="G24" s="122"/>
    </row>
    <row r="25" spans="1:7" ht="15.75" x14ac:dyDescent="0.25">
      <c r="A25" s="126">
        <v>5</v>
      </c>
      <c r="B25" s="127" t="s">
        <v>126</v>
      </c>
      <c r="C25" s="162"/>
      <c r="D25" s="127"/>
      <c r="E25" s="148"/>
      <c r="F25" s="130">
        <f>F10+F12+F15+F22</f>
        <v>162.88804999999999</v>
      </c>
      <c r="G25" s="126" t="s">
        <v>103</v>
      </c>
    </row>
    <row r="26" spans="1:7" ht="15.75" x14ac:dyDescent="0.25">
      <c r="A26" s="126"/>
      <c r="B26" s="127"/>
      <c r="C26" s="162"/>
      <c r="D26" s="127"/>
      <c r="E26" s="148"/>
      <c r="F26" s="130"/>
      <c r="G26" s="126"/>
    </row>
    <row r="27" spans="1:7" ht="15.75" x14ac:dyDescent="0.25">
      <c r="A27" s="126">
        <v>6</v>
      </c>
      <c r="B27" s="127" t="s">
        <v>127</v>
      </c>
      <c r="C27" s="162"/>
      <c r="D27" s="127"/>
      <c r="E27" s="148"/>
      <c r="F27" s="130"/>
      <c r="G27" s="126"/>
    </row>
    <row r="28" spans="1:7" ht="15.75" x14ac:dyDescent="0.25">
      <c r="A28" s="122"/>
      <c r="B28" s="118" t="s">
        <v>128</v>
      </c>
      <c r="C28" s="124"/>
      <c r="D28" s="118"/>
      <c r="E28" s="147">
        <v>0.1</v>
      </c>
      <c r="F28" s="121">
        <f>F25*E28</f>
        <v>16.288805</v>
      </c>
      <c r="G28" s="122" t="s">
        <v>103</v>
      </c>
    </row>
    <row r="29" spans="1:7" ht="15.75" x14ac:dyDescent="0.25">
      <c r="A29" s="122"/>
      <c r="B29" s="118" t="s">
        <v>129</v>
      </c>
      <c r="C29" s="124"/>
      <c r="D29" s="118"/>
      <c r="E29" s="147">
        <v>0.15</v>
      </c>
      <c r="F29" s="121">
        <f>F25*E29</f>
        <v>24.433207499999998</v>
      </c>
      <c r="G29" s="122" t="s">
        <v>103</v>
      </c>
    </row>
    <row r="30" spans="1:7" ht="15.75" x14ac:dyDescent="0.25">
      <c r="A30" s="122"/>
      <c r="B30" s="118"/>
      <c r="C30" s="124"/>
      <c r="D30" s="118"/>
      <c r="E30" s="147"/>
      <c r="F30" s="121"/>
      <c r="G30" s="122"/>
    </row>
    <row r="31" spans="1:7" ht="15.75" x14ac:dyDescent="0.25">
      <c r="A31" s="126">
        <v>7</v>
      </c>
      <c r="B31" s="127" t="s">
        <v>130</v>
      </c>
      <c r="C31" s="162"/>
      <c r="D31" s="127"/>
      <c r="E31" s="148"/>
      <c r="F31" s="130"/>
      <c r="G31" s="126"/>
    </row>
    <row r="32" spans="1:7" ht="15.75" x14ac:dyDescent="0.25">
      <c r="A32" s="122"/>
      <c r="B32" s="118" t="s">
        <v>128</v>
      </c>
      <c r="C32" s="124"/>
      <c r="D32" s="118"/>
      <c r="E32" s="147"/>
      <c r="F32" s="130">
        <f>F25+F28</f>
        <v>179.17685499999999</v>
      </c>
      <c r="G32" s="126" t="s">
        <v>103</v>
      </c>
    </row>
    <row r="33" spans="1:7" ht="15.75" x14ac:dyDescent="0.25">
      <c r="A33" s="122"/>
      <c r="B33" s="118" t="s">
        <v>129</v>
      </c>
      <c r="C33" s="124"/>
      <c r="D33" s="118"/>
      <c r="E33" s="147"/>
      <c r="F33" s="130">
        <f>F25+F29</f>
        <v>187.3212575</v>
      </c>
      <c r="G33" s="126" t="s">
        <v>103</v>
      </c>
    </row>
    <row r="34" spans="1:7" ht="15.75" x14ac:dyDescent="0.25">
      <c r="A34" s="113"/>
      <c r="B34" s="113"/>
      <c r="C34" s="161"/>
      <c r="D34" s="113"/>
      <c r="E34" s="113"/>
      <c r="F34" s="117"/>
      <c r="G34" s="172"/>
    </row>
    <row r="35" spans="1:7" ht="15.75" x14ac:dyDescent="0.25">
      <c r="A35" s="113"/>
      <c r="B35" s="113"/>
      <c r="C35" s="161"/>
      <c r="D35" s="113"/>
      <c r="E35" s="113"/>
      <c r="F35" s="117"/>
      <c r="G35" s="113"/>
    </row>
    <row r="36" spans="1:7" ht="15.75" x14ac:dyDescent="0.25">
      <c r="A36" s="31"/>
      <c r="B36" s="90" t="s">
        <v>56</v>
      </c>
      <c r="C36" s="90"/>
      <c r="D36" s="90"/>
      <c r="E36" s="31"/>
      <c r="F36" s="67" t="s">
        <v>58</v>
      </c>
      <c r="G36" s="31"/>
    </row>
    <row r="37" spans="1:7" ht="15.75" x14ac:dyDescent="0.25">
      <c r="A37" s="31"/>
      <c r="B37" s="91" t="s">
        <v>57</v>
      </c>
      <c r="C37" s="90"/>
      <c r="D37" s="90"/>
      <c r="E37" s="31"/>
      <c r="F37" s="42"/>
      <c r="G37" s="31"/>
    </row>
  </sheetData>
  <mergeCells count="6">
    <mergeCell ref="C10:E10"/>
    <mergeCell ref="A6:G6"/>
    <mergeCell ref="A7:G7"/>
    <mergeCell ref="A8:A9"/>
    <mergeCell ref="B8:E9"/>
    <mergeCell ref="F8:G8"/>
  </mergeCell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0"/>
  <sheetViews>
    <sheetView workbookViewId="0">
      <selection activeCell="G17" sqref="G17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17" t="s">
        <v>134</v>
      </c>
      <c r="B1" s="317"/>
      <c r="C1" s="317"/>
      <c r="D1" s="317"/>
      <c r="E1" s="317"/>
      <c r="F1" s="317"/>
      <c r="G1" s="317"/>
    </row>
    <row r="2" spans="1:7" x14ac:dyDescent="0.25">
      <c r="A2" s="316" t="s">
        <v>135</v>
      </c>
      <c r="B2" s="316"/>
      <c r="C2" s="316"/>
      <c r="D2" s="316"/>
      <c r="E2" s="316"/>
      <c r="F2" s="316"/>
      <c r="G2" s="3"/>
    </row>
    <row r="3" spans="1:7" x14ac:dyDescent="0.25">
      <c r="A3" s="94"/>
      <c r="B3" s="5">
        <f>'План. расчет времени'!F22</f>
        <v>691.17034934935464</v>
      </c>
      <c r="C3" s="3" t="s">
        <v>136</v>
      </c>
      <c r="D3" s="3"/>
      <c r="E3" s="3"/>
      <c r="F3" s="3"/>
      <c r="G3" s="3"/>
    </row>
    <row r="4" spans="1:7" x14ac:dyDescent="0.25">
      <c r="A4" s="316" t="s">
        <v>137</v>
      </c>
      <c r="B4" s="316"/>
      <c r="C4" s="316"/>
      <c r="D4" s="316"/>
      <c r="E4" s="316"/>
      <c r="F4" s="316"/>
      <c r="G4" s="93"/>
    </row>
    <row r="5" spans="1:7" x14ac:dyDescent="0.25">
      <c r="A5" s="3"/>
      <c r="B5" s="3">
        <v>40</v>
      </c>
      <c r="C5" s="3" t="s">
        <v>136</v>
      </c>
      <c r="D5" s="3"/>
      <c r="E5" s="3"/>
      <c r="F5" s="3"/>
      <c r="G5" s="93"/>
    </row>
    <row r="6" spans="1:7" x14ac:dyDescent="0.25">
      <c r="A6" s="316" t="s">
        <v>138</v>
      </c>
      <c r="B6" s="316"/>
      <c r="C6" s="316"/>
      <c r="D6" s="316"/>
      <c r="E6" s="316"/>
      <c r="F6" s="316"/>
      <c r="G6" s="93"/>
    </row>
    <row r="7" spans="1:7" x14ac:dyDescent="0.25">
      <c r="A7" s="316" t="s">
        <v>139</v>
      </c>
      <c r="B7" s="316"/>
      <c r="C7" s="316"/>
      <c r="D7" s="316"/>
      <c r="E7" s="316"/>
      <c r="F7" s="316"/>
      <c r="G7" s="316"/>
    </row>
    <row r="8" spans="1:7" x14ac:dyDescent="0.25">
      <c r="A8" s="316" t="s">
        <v>140</v>
      </c>
      <c r="B8" s="316"/>
      <c r="C8" s="316"/>
      <c r="D8" s="316"/>
      <c r="E8" s="316"/>
      <c r="F8" s="316"/>
      <c r="G8" s="3"/>
    </row>
    <row r="9" spans="1:7" x14ac:dyDescent="0.25">
      <c r="A9" s="93"/>
      <c r="B9" s="93"/>
      <c r="C9" s="93"/>
      <c r="D9" s="3">
        <v>80</v>
      </c>
      <c r="E9" s="3" t="s">
        <v>136</v>
      </c>
      <c r="F9" s="3"/>
      <c r="G9" s="3"/>
    </row>
    <row r="10" spans="1:7" x14ac:dyDescent="0.25">
      <c r="A10" s="319" t="s">
        <v>141</v>
      </c>
      <c r="B10" s="319"/>
      <c r="C10" s="319"/>
      <c r="D10" s="5">
        <f>B3-B5-D9</f>
        <v>571.17034934935464</v>
      </c>
      <c r="E10" s="3" t="s">
        <v>136</v>
      </c>
      <c r="F10" s="3"/>
      <c r="G10" s="93"/>
    </row>
    <row r="11" spans="1:7" x14ac:dyDescent="0.25">
      <c r="A11" s="93"/>
      <c r="B11" s="93"/>
      <c r="C11" s="93"/>
      <c r="D11" s="93"/>
      <c r="E11" s="93"/>
      <c r="F11" s="93"/>
      <c r="G11" s="93"/>
    </row>
    <row r="12" spans="1:7" x14ac:dyDescent="0.25">
      <c r="A12" s="316" t="s">
        <v>142</v>
      </c>
      <c r="B12" s="316"/>
      <c r="C12" s="316"/>
      <c r="D12" s="316"/>
      <c r="E12" s="316"/>
      <c r="F12" s="3">
        <v>134750</v>
      </c>
      <c r="G12" s="3" t="s">
        <v>103</v>
      </c>
    </row>
    <row r="13" spans="1:7" x14ac:dyDescent="0.25">
      <c r="A13" s="93"/>
      <c r="B13" s="93"/>
      <c r="C13" s="3"/>
      <c r="D13" s="3"/>
      <c r="E13" s="3"/>
      <c r="F13" s="94"/>
      <c r="G13" s="94"/>
    </row>
    <row r="14" spans="1:7" ht="15.75" thickBot="1" x14ac:dyDescent="0.3">
      <c r="A14" s="375" t="s">
        <v>143</v>
      </c>
      <c r="B14" s="373" t="s">
        <v>144</v>
      </c>
      <c r="C14" s="373"/>
      <c r="D14" s="373"/>
      <c r="E14" s="3"/>
      <c r="F14" s="94"/>
      <c r="G14" s="94"/>
    </row>
    <row r="15" spans="1:7" x14ac:dyDescent="0.25">
      <c r="A15" s="375"/>
      <c r="B15" s="374" t="s">
        <v>145</v>
      </c>
      <c r="C15" s="374"/>
      <c r="D15" s="374"/>
      <c r="E15" s="3"/>
      <c r="F15" s="94"/>
      <c r="G15" s="94"/>
    </row>
    <row r="16" spans="1:7" x14ac:dyDescent="0.25">
      <c r="A16" s="99"/>
      <c r="B16" s="100"/>
      <c r="C16" s="100"/>
      <c r="D16" s="100"/>
      <c r="E16" s="3"/>
      <c r="F16" s="94"/>
      <c r="G16" s="94"/>
    </row>
    <row r="17" spans="1:7" ht="15.75" thickBot="1" x14ac:dyDescent="0.3">
      <c r="A17" s="372" t="s">
        <v>146</v>
      </c>
      <c r="B17" s="372"/>
      <c r="C17" s="373" t="s">
        <v>147</v>
      </c>
      <c r="D17" s="373"/>
      <c r="E17" s="373"/>
      <c r="F17" s="94"/>
      <c r="G17" s="94"/>
    </row>
    <row r="18" spans="1:7" x14ac:dyDescent="0.25">
      <c r="A18" s="372"/>
      <c r="B18" s="372"/>
      <c r="C18" s="374" t="s">
        <v>145</v>
      </c>
      <c r="D18" s="374"/>
      <c r="E18" s="374"/>
      <c r="F18" s="94"/>
      <c r="G18" s="94"/>
    </row>
    <row r="19" spans="1:7" x14ac:dyDescent="0.25">
      <c r="A19" s="9"/>
      <c r="B19" s="9"/>
      <c r="C19" s="101"/>
      <c r="D19" s="101"/>
      <c r="E19" s="101"/>
      <c r="F19" s="94"/>
      <c r="G19" s="94"/>
    </row>
    <row r="20" spans="1:7" x14ac:dyDescent="0.25">
      <c r="A20" s="9"/>
      <c r="B20" s="9"/>
      <c r="C20" s="101"/>
      <c r="D20" s="101"/>
      <c r="E20" s="320" t="s">
        <v>13</v>
      </c>
      <c r="F20" s="320"/>
      <c r="G20" s="94"/>
    </row>
    <row r="21" spans="1:7" x14ac:dyDescent="0.25">
      <c r="A21" s="321" t="s">
        <v>148</v>
      </c>
      <c r="B21" s="321"/>
      <c r="C21" s="321"/>
      <c r="D21" s="321"/>
      <c r="E21" s="321"/>
      <c r="F21" s="321"/>
      <c r="G21" s="94"/>
    </row>
    <row r="22" spans="1:7" x14ac:dyDescent="0.25">
      <c r="A22" s="377" t="s">
        <v>149</v>
      </c>
      <c r="B22" s="379" t="s">
        <v>16</v>
      </c>
      <c r="C22" s="380"/>
      <c r="D22" s="380"/>
      <c r="E22" s="381" t="s">
        <v>150</v>
      </c>
      <c r="F22" s="381"/>
      <c r="G22" s="102"/>
    </row>
    <row r="23" spans="1:7" ht="45" x14ac:dyDescent="0.25">
      <c r="A23" s="378"/>
      <c r="B23" s="103" t="s">
        <v>151</v>
      </c>
      <c r="C23" s="103" t="s">
        <v>152</v>
      </c>
      <c r="D23" s="104" t="s">
        <v>153</v>
      </c>
      <c r="E23" s="103" t="s">
        <v>154</v>
      </c>
      <c r="F23" s="103" t="s">
        <v>155</v>
      </c>
      <c r="G23" s="105"/>
    </row>
    <row r="24" spans="1:7" x14ac:dyDescent="0.25">
      <c r="A24" s="106" t="s">
        <v>156</v>
      </c>
      <c r="B24" s="107">
        <v>0</v>
      </c>
      <c r="C24" s="108">
        <f>F12</f>
        <v>134750</v>
      </c>
      <c r="D24" s="109">
        <f>D10</f>
        <v>571.17034934935464</v>
      </c>
      <c r="E24" s="108">
        <f>B24/D24</f>
        <v>0</v>
      </c>
      <c r="F24" s="107">
        <f>C24/D24</f>
        <v>235.91910916506725</v>
      </c>
      <c r="G24" s="12"/>
    </row>
    <row r="25" spans="1:7" x14ac:dyDescent="0.25">
      <c r="A25" s="94"/>
      <c r="B25" s="94"/>
      <c r="C25" s="94"/>
      <c r="D25" s="94"/>
      <c r="E25" s="94"/>
      <c r="F25" s="94"/>
      <c r="G25" s="94"/>
    </row>
    <row r="26" spans="1:7" x14ac:dyDescent="0.25">
      <c r="A26" s="94"/>
      <c r="B26" s="94"/>
      <c r="C26" s="94"/>
      <c r="D26" s="94"/>
      <c r="E26" s="94"/>
      <c r="F26" s="94"/>
      <c r="G26" s="94"/>
    </row>
    <row r="27" spans="1:7" x14ac:dyDescent="0.25">
      <c r="A27" s="94"/>
      <c r="B27" s="94"/>
      <c r="C27" s="94"/>
      <c r="D27" s="94"/>
      <c r="E27" s="94"/>
      <c r="F27" s="94"/>
      <c r="G27" s="94"/>
    </row>
    <row r="28" spans="1:7" x14ac:dyDescent="0.25">
      <c r="A28" s="94"/>
      <c r="B28" s="94"/>
      <c r="C28" s="94"/>
      <c r="D28" s="94"/>
      <c r="E28" s="94"/>
      <c r="F28" s="94"/>
      <c r="G28" s="94"/>
    </row>
    <row r="29" spans="1:7" ht="15.75" x14ac:dyDescent="0.25">
      <c r="A29" s="382" t="s">
        <v>56</v>
      </c>
      <c r="B29" s="382"/>
      <c r="C29" s="382"/>
      <c r="D29" s="31"/>
      <c r="E29" s="340" t="s">
        <v>58</v>
      </c>
      <c r="F29" s="340"/>
      <c r="G29" s="340"/>
    </row>
    <row r="30" spans="1:7" ht="15.75" x14ac:dyDescent="0.25">
      <c r="A30" s="376" t="s">
        <v>57</v>
      </c>
      <c r="B30" s="376"/>
      <c r="C30" s="376"/>
      <c r="D30" s="31"/>
      <c r="E30" s="31"/>
      <c r="F30" s="91"/>
      <c r="G30" s="31"/>
    </row>
  </sheetData>
  <mergeCells count="22">
    <mergeCell ref="A30:C30"/>
    <mergeCell ref="E20:F20"/>
    <mergeCell ref="A21:F21"/>
    <mergeCell ref="A22:A23"/>
    <mergeCell ref="B22:D22"/>
    <mergeCell ref="E22:F22"/>
    <mergeCell ref="A29:C29"/>
    <mergeCell ref="E29:G29"/>
    <mergeCell ref="A17:B18"/>
    <mergeCell ref="C17:E17"/>
    <mergeCell ref="C18:E18"/>
    <mergeCell ref="A1:G1"/>
    <mergeCell ref="A2:F2"/>
    <mergeCell ref="A4:F4"/>
    <mergeCell ref="A6:F6"/>
    <mergeCell ref="A7:G7"/>
    <mergeCell ref="A8:F8"/>
    <mergeCell ref="A10:C10"/>
    <mergeCell ref="A12:E12"/>
    <mergeCell ref="A14:A15"/>
    <mergeCell ref="B14:D14"/>
    <mergeCell ref="B15:D15"/>
  </mergeCells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0"/>
  <sheetViews>
    <sheetView tabSelected="1" workbookViewId="0">
      <selection activeCell="H21" sqref="H21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17" t="s">
        <v>385</v>
      </c>
      <c r="B1" s="317"/>
      <c r="C1" s="317"/>
      <c r="D1" s="317"/>
      <c r="E1" s="317"/>
      <c r="F1" s="317"/>
      <c r="G1" s="317"/>
    </row>
    <row r="2" spans="1:7" x14ac:dyDescent="0.25">
      <c r="A2" s="316" t="s">
        <v>135</v>
      </c>
      <c r="B2" s="316"/>
      <c r="C2" s="316"/>
      <c r="D2" s="316"/>
      <c r="E2" s="316"/>
      <c r="F2" s="316"/>
      <c r="G2" s="3"/>
    </row>
    <row r="3" spans="1:7" x14ac:dyDescent="0.25">
      <c r="A3" s="94"/>
      <c r="B3" s="5">
        <v>400</v>
      </c>
      <c r="C3" s="3" t="s">
        <v>136</v>
      </c>
      <c r="D3" s="3"/>
      <c r="E3" s="3"/>
      <c r="F3" s="3"/>
      <c r="G3" s="3"/>
    </row>
    <row r="4" spans="1:7" x14ac:dyDescent="0.25">
      <c r="A4" s="316" t="s">
        <v>386</v>
      </c>
      <c r="B4" s="316"/>
      <c r="C4" s="316"/>
      <c r="D4" s="316"/>
      <c r="E4" s="316"/>
      <c r="F4" s="316"/>
      <c r="G4" s="93"/>
    </row>
    <row r="5" spans="1:7" x14ac:dyDescent="0.25">
      <c r="A5" s="316" t="s">
        <v>387</v>
      </c>
      <c r="B5" s="316"/>
      <c r="C5" s="316"/>
      <c r="D5" s="316"/>
      <c r="E5" s="316"/>
      <c r="F5" s="316"/>
      <c r="G5" s="316"/>
    </row>
    <row r="6" spans="1:7" x14ac:dyDescent="0.25">
      <c r="A6" s="3" t="s">
        <v>388</v>
      </c>
      <c r="B6" s="3">
        <v>0</v>
      </c>
      <c r="C6" s="3" t="s">
        <v>136</v>
      </c>
      <c r="D6" s="94"/>
      <c r="E6" s="94"/>
      <c r="F6" s="3"/>
      <c r="G6" s="3"/>
    </row>
    <row r="7" spans="1:7" x14ac:dyDescent="0.25">
      <c r="A7" s="93"/>
      <c r="B7" s="93"/>
      <c r="C7" s="93"/>
      <c r="D7" s="3"/>
      <c r="E7" s="3"/>
      <c r="F7" s="3"/>
      <c r="G7" s="3"/>
    </row>
    <row r="8" spans="1:7" x14ac:dyDescent="0.25">
      <c r="A8" s="319" t="s">
        <v>389</v>
      </c>
      <c r="B8" s="319"/>
      <c r="C8" s="5">
        <f>B3-B6</f>
        <v>400</v>
      </c>
      <c r="D8" s="3" t="s">
        <v>136</v>
      </c>
      <c r="E8" s="94"/>
      <c r="F8" s="3"/>
      <c r="G8" s="93"/>
    </row>
    <row r="9" spans="1:7" x14ac:dyDescent="0.25">
      <c r="A9" s="93"/>
      <c r="B9" s="93"/>
      <c r="C9" s="93"/>
      <c r="D9" s="93"/>
      <c r="E9" s="93"/>
      <c r="F9" s="93"/>
      <c r="G9" s="93"/>
    </row>
    <row r="10" spans="1:7" x14ac:dyDescent="0.25">
      <c r="A10" s="316" t="s">
        <v>390</v>
      </c>
      <c r="B10" s="316"/>
      <c r="C10" s="316"/>
      <c r="D10" s="316"/>
      <c r="E10" s="316"/>
      <c r="F10" s="3">
        <v>27875</v>
      </c>
      <c r="G10" s="3" t="s">
        <v>103</v>
      </c>
    </row>
    <row r="11" spans="1:7" x14ac:dyDescent="0.25">
      <c r="A11" s="93"/>
      <c r="B11" s="93"/>
      <c r="C11" s="3"/>
      <c r="D11" s="3"/>
      <c r="E11" s="3"/>
      <c r="F11" s="94"/>
      <c r="G11" s="94"/>
    </row>
    <row r="12" spans="1:7" ht="15.75" thickBot="1" x14ac:dyDescent="0.3">
      <c r="A12" s="375" t="s">
        <v>143</v>
      </c>
      <c r="B12" s="373" t="s">
        <v>144</v>
      </c>
      <c r="C12" s="373"/>
      <c r="D12" s="373"/>
      <c r="E12" s="3"/>
      <c r="F12" s="94"/>
      <c r="G12" s="94"/>
    </row>
    <row r="13" spans="1:7" x14ac:dyDescent="0.25">
      <c r="A13" s="375"/>
      <c r="B13" s="374" t="s">
        <v>145</v>
      </c>
      <c r="C13" s="374"/>
      <c r="D13" s="374"/>
      <c r="E13" s="3"/>
      <c r="F13" s="94"/>
      <c r="G13" s="94"/>
    </row>
    <row r="14" spans="1:7" x14ac:dyDescent="0.25">
      <c r="A14" s="99"/>
      <c r="B14" s="100"/>
      <c r="C14" s="100"/>
      <c r="D14" s="100"/>
      <c r="E14" s="3"/>
      <c r="F14" s="94"/>
      <c r="G14" s="94"/>
    </row>
    <row r="15" spans="1:7" ht="15.75" thickBot="1" x14ac:dyDescent="0.3">
      <c r="A15" s="372" t="s">
        <v>146</v>
      </c>
      <c r="B15" s="372"/>
      <c r="C15" s="373" t="s">
        <v>147</v>
      </c>
      <c r="D15" s="373"/>
      <c r="E15" s="373"/>
      <c r="F15" s="94"/>
      <c r="G15" s="94"/>
    </row>
    <row r="16" spans="1:7" x14ac:dyDescent="0.25">
      <c r="A16" s="372"/>
      <c r="B16" s="372"/>
      <c r="C16" s="374" t="s">
        <v>145</v>
      </c>
      <c r="D16" s="374"/>
      <c r="E16" s="374"/>
      <c r="F16" s="94"/>
      <c r="G16" s="94"/>
    </row>
    <row r="17" spans="1:7" x14ac:dyDescent="0.25">
      <c r="A17" s="9"/>
      <c r="B17" s="9"/>
      <c r="C17" s="101"/>
      <c r="D17" s="101"/>
      <c r="E17" s="101"/>
      <c r="F17" s="94"/>
      <c r="G17" s="94"/>
    </row>
    <row r="18" spans="1:7" x14ac:dyDescent="0.25">
      <c r="A18" s="9"/>
      <c r="B18" s="9"/>
      <c r="C18" s="101"/>
      <c r="D18" s="101"/>
      <c r="E18" s="320" t="s">
        <v>13</v>
      </c>
      <c r="F18" s="320"/>
      <c r="G18" s="94"/>
    </row>
    <row r="19" spans="1:7" x14ac:dyDescent="0.25">
      <c r="A19" s="321" t="s">
        <v>148</v>
      </c>
      <c r="B19" s="321"/>
      <c r="C19" s="321"/>
      <c r="D19" s="321"/>
      <c r="E19" s="321"/>
      <c r="F19" s="321"/>
      <c r="G19" s="94"/>
    </row>
    <row r="20" spans="1:7" x14ac:dyDescent="0.25">
      <c r="A20" s="377" t="s">
        <v>149</v>
      </c>
      <c r="B20" s="379" t="s">
        <v>16</v>
      </c>
      <c r="C20" s="380"/>
      <c r="D20" s="380"/>
      <c r="E20" s="381" t="s">
        <v>150</v>
      </c>
      <c r="F20" s="381"/>
      <c r="G20" s="102"/>
    </row>
    <row r="21" spans="1:7" ht="45" x14ac:dyDescent="0.25">
      <c r="A21" s="378"/>
      <c r="B21" s="103" t="s">
        <v>151</v>
      </c>
      <c r="C21" s="103" t="s">
        <v>152</v>
      </c>
      <c r="D21" s="104" t="s">
        <v>153</v>
      </c>
      <c r="E21" s="103" t="s">
        <v>154</v>
      </c>
      <c r="F21" s="103" t="s">
        <v>155</v>
      </c>
      <c r="G21" s="105"/>
    </row>
    <row r="22" spans="1:7" x14ac:dyDescent="0.25">
      <c r="A22" s="106" t="s">
        <v>96</v>
      </c>
      <c r="B22" s="107">
        <v>0</v>
      </c>
      <c r="C22" s="108">
        <f>F10</f>
        <v>27875</v>
      </c>
      <c r="D22" s="109">
        <f>C8</f>
        <v>400</v>
      </c>
      <c r="E22" s="108">
        <f>B22/D22</f>
        <v>0</v>
      </c>
      <c r="F22" s="107">
        <f>C22/D22</f>
        <v>69.6875</v>
      </c>
      <c r="G22" s="12"/>
    </row>
    <row r="23" spans="1:7" x14ac:dyDescent="0.25">
      <c r="A23" s="94"/>
      <c r="B23" s="94"/>
      <c r="C23" s="94"/>
      <c r="D23" s="94"/>
      <c r="E23" s="94"/>
      <c r="F23" s="94"/>
      <c r="G23" s="94"/>
    </row>
    <row r="24" spans="1:7" x14ac:dyDescent="0.25">
      <c r="A24" s="94"/>
      <c r="B24" s="94"/>
      <c r="C24" s="94"/>
      <c r="D24" s="94"/>
      <c r="E24" s="94"/>
      <c r="F24" s="94"/>
      <c r="G24" s="94"/>
    </row>
    <row r="25" spans="1:7" x14ac:dyDescent="0.25">
      <c r="A25" s="94"/>
      <c r="B25" s="94"/>
      <c r="C25" s="94"/>
      <c r="D25" s="94"/>
      <c r="E25" s="94"/>
      <c r="F25" s="94"/>
      <c r="G25" s="94"/>
    </row>
    <row r="26" spans="1:7" x14ac:dyDescent="0.25">
      <c r="A26" s="94"/>
      <c r="B26" s="94"/>
      <c r="C26" s="94"/>
      <c r="D26" s="94"/>
      <c r="E26" s="94"/>
      <c r="F26" s="94"/>
      <c r="G26" s="94"/>
    </row>
    <row r="27" spans="1:7" ht="15.75" x14ac:dyDescent="0.25">
      <c r="A27" s="382" t="s">
        <v>56</v>
      </c>
      <c r="B27" s="382"/>
      <c r="C27" s="382"/>
      <c r="D27" s="31"/>
      <c r="E27" s="340" t="s">
        <v>58</v>
      </c>
      <c r="F27" s="340"/>
      <c r="G27" s="340"/>
    </row>
    <row r="28" spans="1:7" ht="15.75" x14ac:dyDescent="0.25">
      <c r="A28" s="376" t="s">
        <v>57</v>
      </c>
      <c r="B28" s="376"/>
      <c r="C28" s="376"/>
      <c r="D28" s="31"/>
      <c r="E28" s="31"/>
      <c r="F28" s="91"/>
      <c r="G28" s="31"/>
    </row>
    <row r="29" spans="1:7" x14ac:dyDescent="0.25">
      <c r="A29" s="94"/>
      <c r="B29" s="94"/>
      <c r="C29" s="94"/>
      <c r="D29" s="94"/>
      <c r="E29" s="94"/>
      <c r="F29" s="94"/>
      <c r="G29" s="94"/>
    </row>
    <row r="30" spans="1:7" x14ac:dyDescent="0.25">
      <c r="A30" s="94"/>
      <c r="B30" s="94"/>
      <c r="C30" s="94"/>
      <c r="D30" s="94"/>
      <c r="E30" s="94"/>
      <c r="F30" s="94"/>
      <c r="G30" s="94"/>
    </row>
  </sheetData>
  <mergeCells count="20">
    <mergeCell ref="A28:C28"/>
    <mergeCell ref="E18:F18"/>
    <mergeCell ref="A19:F19"/>
    <mergeCell ref="A20:A21"/>
    <mergeCell ref="B20:D20"/>
    <mergeCell ref="E20:F20"/>
    <mergeCell ref="A27:C27"/>
    <mergeCell ref="E27:G27"/>
    <mergeCell ref="A12:A13"/>
    <mergeCell ref="B12:D12"/>
    <mergeCell ref="B13:D13"/>
    <mergeCell ref="A15:B16"/>
    <mergeCell ref="C15:E15"/>
    <mergeCell ref="C16:E16"/>
    <mergeCell ref="A10:E10"/>
    <mergeCell ref="A1:G1"/>
    <mergeCell ref="A2:F2"/>
    <mergeCell ref="A4:F4"/>
    <mergeCell ref="A5:G5"/>
    <mergeCell ref="A8:B8"/>
  </mergeCells>
  <pageMargins left="0.7" right="0.7" top="0.75" bottom="0.75" header="0.3" footer="0.3"/>
  <pageSetup paperSize="9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2"/>
  <sheetViews>
    <sheetView topLeftCell="A22" workbookViewId="0">
      <selection activeCell="H26" sqref="H26"/>
    </sheetView>
  </sheetViews>
  <sheetFormatPr defaultRowHeight="15" x14ac:dyDescent="0.25"/>
  <cols>
    <col min="1" max="1" width="4.5703125" customWidth="1"/>
    <col min="2" max="2" width="28.7109375" customWidth="1"/>
    <col min="3" max="3" width="8.28515625" customWidth="1"/>
    <col min="4" max="4" width="12.5703125" customWidth="1"/>
    <col min="5" max="5" width="10" customWidth="1"/>
    <col min="6" max="6" width="18.140625" customWidth="1"/>
    <col min="7" max="7" width="9.7109375" customWidth="1"/>
  </cols>
  <sheetData>
    <row r="1" spans="1:7" ht="14.25" customHeight="1" x14ac:dyDescent="0.25">
      <c r="A1" s="113"/>
      <c r="B1" s="113"/>
      <c r="C1" s="114"/>
      <c r="D1" s="113"/>
      <c r="E1" s="113"/>
      <c r="F1" s="113"/>
      <c r="G1" s="115" t="s">
        <v>60</v>
      </c>
    </row>
    <row r="2" spans="1:7" ht="14.25" customHeight="1" x14ac:dyDescent="0.25">
      <c r="A2" s="113"/>
      <c r="B2" s="113"/>
      <c r="C2" s="114"/>
      <c r="D2" s="113"/>
      <c r="E2" s="113"/>
      <c r="F2" s="113"/>
      <c r="G2" s="115" t="s">
        <v>61</v>
      </c>
    </row>
    <row r="3" spans="1:7" ht="14.25" customHeight="1" x14ac:dyDescent="0.25">
      <c r="A3" s="113"/>
      <c r="B3" s="113"/>
      <c r="C3" s="114"/>
      <c r="D3" s="113"/>
      <c r="E3" s="113"/>
      <c r="F3" s="113"/>
      <c r="G3" s="115" t="s">
        <v>414</v>
      </c>
    </row>
    <row r="4" spans="1:7" ht="14.25" customHeight="1" x14ac:dyDescent="0.25">
      <c r="A4" s="113"/>
      <c r="B4" s="113"/>
      <c r="C4" s="114"/>
      <c r="D4" s="113"/>
      <c r="E4" s="113"/>
      <c r="F4" s="113"/>
      <c r="G4" s="115" t="s">
        <v>415</v>
      </c>
    </row>
    <row r="5" spans="1:7" ht="14.25" customHeight="1" x14ac:dyDescent="0.25">
      <c r="A5" s="113"/>
      <c r="B5" s="113"/>
      <c r="C5" s="114"/>
      <c r="D5" s="113"/>
      <c r="E5" s="116"/>
      <c r="F5" s="117"/>
      <c r="G5" s="113"/>
    </row>
    <row r="6" spans="1:7" ht="14.25" customHeight="1" x14ac:dyDescent="0.25">
      <c r="A6" s="349" t="s">
        <v>98</v>
      </c>
      <c r="B6" s="349"/>
      <c r="C6" s="349"/>
      <c r="D6" s="349"/>
      <c r="E6" s="349"/>
      <c r="F6" s="349"/>
      <c r="G6" s="349"/>
    </row>
    <row r="7" spans="1:7" ht="14.25" customHeight="1" x14ac:dyDescent="0.25">
      <c r="A7" s="349" t="s">
        <v>157</v>
      </c>
      <c r="B7" s="349"/>
      <c r="C7" s="349"/>
      <c r="D7" s="349"/>
      <c r="E7" s="349"/>
      <c r="F7" s="349"/>
      <c r="G7" s="349"/>
    </row>
    <row r="8" spans="1:7" ht="14.25" customHeight="1" x14ac:dyDescent="0.25">
      <c r="A8" s="350" t="s">
        <v>14</v>
      </c>
      <c r="B8" s="388" t="s">
        <v>100</v>
      </c>
      <c r="C8" s="389"/>
      <c r="D8" s="390"/>
      <c r="E8" s="352"/>
      <c r="F8" s="354" t="s">
        <v>101</v>
      </c>
      <c r="G8" s="354"/>
    </row>
    <row r="9" spans="1:7" ht="14.25" customHeight="1" x14ac:dyDescent="0.25">
      <c r="A9" s="351"/>
      <c r="B9" s="391"/>
      <c r="C9" s="392"/>
      <c r="D9" s="393"/>
      <c r="E9" s="353"/>
      <c r="F9" s="70" t="s">
        <v>102</v>
      </c>
      <c r="G9" s="97" t="s">
        <v>64</v>
      </c>
    </row>
    <row r="10" spans="1:7" ht="14.25" customHeight="1" x14ac:dyDescent="0.25">
      <c r="A10" s="118"/>
      <c r="B10" s="118" t="s">
        <v>158</v>
      </c>
      <c r="C10" s="119"/>
      <c r="D10" s="118" t="s">
        <v>159</v>
      </c>
      <c r="E10" s="120"/>
      <c r="F10" s="121">
        <v>62.85</v>
      </c>
      <c r="G10" s="122" t="s">
        <v>103</v>
      </c>
    </row>
    <row r="11" spans="1:7" ht="14.25" customHeight="1" x14ac:dyDescent="0.25">
      <c r="A11" s="118"/>
      <c r="B11" s="118"/>
      <c r="C11" s="119"/>
      <c r="D11" s="118"/>
      <c r="E11" s="120"/>
      <c r="F11" s="121"/>
      <c r="G11" s="122"/>
    </row>
    <row r="12" spans="1:7" ht="14.25" customHeight="1" x14ac:dyDescent="0.25">
      <c r="A12" s="118"/>
      <c r="B12" s="383" t="s">
        <v>104</v>
      </c>
      <c r="C12" s="384"/>
      <c r="D12" s="385"/>
      <c r="E12" s="123">
        <v>0.25</v>
      </c>
      <c r="F12" s="121">
        <f>F10*E12</f>
        <v>15.7125</v>
      </c>
      <c r="G12" s="122" t="s">
        <v>103</v>
      </c>
    </row>
    <row r="13" spans="1:7" ht="14.25" customHeight="1" x14ac:dyDescent="0.25">
      <c r="A13" s="118"/>
      <c r="B13" s="124"/>
      <c r="C13" s="125"/>
      <c r="D13" s="124"/>
      <c r="E13" s="123"/>
      <c r="F13" s="121"/>
      <c r="G13" s="122"/>
    </row>
    <row r="14" spans="1:7" ht="14.25" customHeight="1" x14ac:dyDescent="0.25">
      <c r="A14" s="118"/>
      <c r="B14" s="386" t="s">
        <v>105</v>
      </c>
      <c r="C14" s="386"/>
      <c r="D14" s="386"/>
      <c r="E14" s="123">
        <v>0.1</v>
      </c>
      <c r="F14" s="121">
        <f>F10*E14</f>
        <v>6.2850000000000001</v>
      </c>
      <c r="G14" s="122" t="s">
        <v>103</v>
      </c>
    </row>
    <row r="15" spans="1:7" ht="14.25" customHeight="1" x14ac:dyDescent="0.25">
      <c r="A15" s="118"/>
      <c r="B15" s="124"/>
      <c r="C15" s="125"/>
      <c r="D15" s="124"/>
      <c r="E15" s="120"/>
      <c r="F15" s="121"/>
      <c r="G15" s="122"/>
    </row>
    <row r="16" spans="1:7" ht="14.25" customHeight="1" x14ac:dyDescent="0.25">
      <c r="A16" s="118"/>
      <c r="B16" s="118" t="s">
        <v>106</v>
      </c>
      <c r="C16" s="119"/>
      <c r="D16" s="118"/>
      <c r="E16" s="123">
        <v>0.4</v>
      </c>
      <c r="F16" s="121">
        <f>(F10)*E16</f>
        <v>25.14</v>
      </c>
      <c r="G16" s="122" t="s">
        <v>103</v>
      </c>
    </row>
    <row r="17" spans="1:7" ht="14.25" customHeight="1" x14ac:dyDescent="0.25">
      <c r="A17" s="118"/>
      <c r="B17" s="118"/>
      <c r="C17" s="119"/>
      <c r="D17" s="118"/>
      <c r="E17" s="123"/>
      <c r="F17" s="121"/>
      <c r="G17" s="122"/>
    </row>
    <row r="18" spans="1:7" ht="14.25" customHeight="1" x14ac:dyDescent="0.25">
      <c r="A18" s="118"/>
      <c r="B18" s="118" t="s">
        <v>107</v>
      </c>
      <c r="C18" s="119"/>
      <c r="D18" s="118"/>
      <c r="E18" s="120"/>
      <c r="F18" s="121">
        <v>60</v>
      </c>
      <c r="G18" s="122" t="s">
        <v>108</v>
      </c>
    </row>
    <row r="19" spans="1:7" ht="14.25" customHeight="1" x14ac:dyDescent="0.25">
      <c r="A19" s="118"/>
      <c r="B19" s="118"/>
      <c r="C19" s="119"/>
      <c r="D19" s="118"/>
      <c r="E19" s="120"/>
      <c r="F19" s="121"/>
      <c r="G19" s="118"/>
    </row>
    <row r="20" spans="1:7" ht="14.25" customHeight="1" x14ac:dyDescent="0.25">
      <c r="A20" s="126">
        <v>1</v>
      </c>
      <c r="B20" s="127" t="s">
        <v>109</v>
      </c>
      <c r="C20" s="128"/>
      <c r="D20" s="127"/>
      <c r="E20" s="129"/>
      <c r="F20" s="130">
        <f>F10+F12+F14+F16</f>
        <v>109.9875</v>
      </c>
      <c r="G20" s="126" t="s">
        <v>103</v>
      </c>
    </row>
    <row r="21" spans="1:7" ht="14.25" customHeight="1" x14ac:dyDescent="0.25">
      <c r="A21" s="126"/>
      <c r="B21" s="127"/>
      <c r="C21" s="128"/>
      <c r="D21" s="118"/>
      <c r="E21" s="120"/>
      <c r="F21" s="121"/>
      <c r="G21" s="122"/>
    </row>
    <row r="22" spans="1:7" ht="14.25" customHeight="1" x14ac:dyDescent="0.25">
      <c r="A22" s="126">
        <v>2</v>
      </c>
      <c r="B22" s="127" t="s">
        <v>110</v>
      </c>
      <c r="C22" s="128"/>
      <c r="D22" s="127"/>
      <c r="E22" s="131">
        <v>0.30199999999999999</v>
      </c>
      <c r="F22" s="130">
        <f>E22*F20</f>
        <v>33.216225000000001</v>
      </c>
      <c r="G22" s="126" t="s">
        <v>103</v>
      </c>
    </row>
    <row r="23" spans="1:7" ht="14.25" customHeight="1" x14ac:dyDescent="0.25">
      <c r="A23" s="126"/>
      <c r="B23" s="127"/>
      <c r="C23" s="128"/>
      <c r="D23" s="118"/>
      <c r="E23" s="123"/>
      <c r="F23" s="121"/>
      <c r="G23" s="122"/>
    </row>
    <row r="24" spans="1:7" ht="14.25" customHeight="1" x14ac:dyDescent="0.25">
      <c r="A24" s="126">
        <v>3</v>
      </c>
      <c r="B24" s="127" t="s">
        <v>111</v>
      </c>
      <c r="C24" s="128"/>
      <c r="D24" s="127" t="s">
        <v>160</v>
      </c>
      <c r="E24" s="131"/>
      <c r="F24" s="130">
        <v>0</v>
      </c>
      <c r="G24" s="126" t="s">
        <v>103</v>
      </c>
    </row>
    <row r="25" spans="1:7" ht="14.25" customHeight="1" x14ac:dyDescent="0.25">
      <c r="A25" s="126"/>
      <c r="B25" s="127"/>
      <c r="C25" s="128"/>
      <c r="D25" s="118"/>
      <c r="E25" s="123"/>
      <c r="F25" s="121"/>
      <c r="G25" s="122"/>
    </row>
    <row r="26" spans="1:7" ht="14.25" customHeight="1" x14ac:dyDescent="0.25">
      <c r="A26" s="126">
        <v>4</v>
      </c>
      <c r="B26" s="127" t="s">
        <v>113</v>
      </c>
      <c r="C26" s="128"/>
      <c r="D26" s="127"/>
      <c r="E26" s="131"/>
      <c r="F26" s="130">
        <v>96.84</v>
      </c>
      <c r="G26" s="126" t="s">
        <v>103</v>
      </c>
    </row>
    <row r="27" spans="1:7" ht="14.25" customHeight="1" x14ac:dyDescent="0.25">
      <c r="A27" s="126"/>
      <c r="B27" s="127"/>
      <c r="C27" s="128"/>
      <c r="D27" s="118"/>
      <c r="E27" s="123"/>
      <c r="F27" s="121"/>
      <c r="G27" s="122"/>
    </row>
    <row r="28" spans="1:7" ht="14.25" customHeight="1" x14ac:dyDescent="0.25">
      <c r="A28" s="126">
        <v>5</v>
      </c>
      <c r="B28" s="127" t="s">
        <v>161</v>
      </c>
      <c r="C28" s="383" t="s">
        <v>162</v>
      </c>
      <c r="D28" s="385"/>
      <c r="E28" s="132"/>
      <c r="F28" s="133">
        <f>0.205*50</f>
        <v>10.25</v>
      </c>
      <c r="G28" s="122" t="s">
        <v>116</v>
      </c>
    </row>
    <row r="29" spans="1:7" ht="14.25" customHeight="1" x14ac:dyDescent="0.25">
      <c r="A29" s="126"/>
      <c r="B29" s="127"/>
      <c r="C29" s="387">
        <f>F28</f>
        <v>10.25</v>
      </c>
      <c r="D29" s="385"/>
      <c r="E29" s="134">
        <v>35.1</v>
      </c>
      <c r="F29" s="135">
        <f>F28*E29</f>
        <v>359.77500000000003</v>
      </c>
      <c r="G29" s="126" t="s">
        <v>103</v>
      </c>
    </row>
    <row r="30" spans="1:7" ht="14.25" customHeight="1" x14ac:dyDescent="0.25">
      <c r="A30" s="126"/>
      <c r="B30" s="127"/>
      <c r="C30" s="128"/>
      <c r="D30" s="118"/>
      <c r="E30" s="123"/>
      <c r="F30" s="121"/>
      <c r="G30" s="122"/>
    </row>
    <row r="31" spans="1:7" ht="14.25" customHeight="1" x14ac:dyDescent="0.25">
      <c r="A31" s="126">
        <v>6</v>
      </c>
      <c r="B31" s="127" t="s">
        <v>117</v>
      </c>
      <c r="C31" s="136"/>
      <c r="D31" s="118"/>
      <c r="E31" s="120"/>
      <c r="F31" s="121"/>
      <c r="G31" s="113"/>
    </row>
    <row r="32" spans="1:7" ht="14.25" customHeight="1" x14ac:dyDescent="0.25">
      <c r="A32" s="126"/>
      <c r="B32" s="118" t="s">
        <v>118</v>
      </c>
      <c r="C32" s="137">
        <v>2.1000000000000001E-2</v>
      </c>
      <c r="D32" s="138" t="s">
        <v>121</v>
      </c>
      <c r="E32" s="139">
        <v>142.52000000000001</v>
      </c>
      <c r="F32" s="121">
        <f>C32*$F$28*E32</f>
        <v>30.677430000000005</v>
      </c>
      <c r="G32" s="122" t="s">
        <v>103</v>
      </c>
    </row>
    <row r="33" spans="1:7" ht="14.25" customHeight="1" x14ac:dyDescent="0.25">
      <c r="A33" s="126"/>
      <c r="B33" s="118" t="s">
        <v>120</v>
      </c>
      <c r="C33" s="137">
        <v>3.0000000000000001E-3</v>
      </c>
      <c r="D33" s="140" t="s">
        <v>121</v>
      </c>
      <c r="E33" s="139">
        <v>88.65</v>
      </c>
      <c r="F33" s="121">
        <f>C33*$F$28*E33</f>
        <v>2.7259875</v>
      </c>
      <c r="G33" s="122" t="s">
        <v>103</v>
      </c>
    </row>
    <row r="34" spans="1:7" ht="14.25" customHeight="1" x14ac:dyDescent="0.25">
      <c r="A34" s="126"/>
      <c r="B34" s="118" t="s">
        <v>122</v>
      </c>
      <c r="C34" s="137">
        <v>1E-3</v>
      </c>
      <c r="D34" s="140" t="s">
        <v>121</v>
      </c>
      <c r="E34" s="139">
        <v>56.75</v>
      </c>
      <c r="F34" s="121">
        <f>C34*$F$28*E34</f>
        <v>0.58168750000000002</v>
      </c>
      <c r="G34" s="122" t="s">
        <v>103</v>
      </c>
    </row>
    <row r="35" spans="1:7" ht="14.25" customHeight="1" x14ac:dyDescent="0.25">
      <c r="A35" s="126"/>
      <c r="B35" s="118" t="s">
        <v>123</v>
      </c>
      <c r="C35" s="141">
        <v>2.5000000000000001E-3</v>
      </c>
      <c r="D35" s="142" t="s">
        <v>121</v>
      </c>
      <c r="E35" s="139">
        <v>100.17</v>
      </c>
      <c r="F35" s="121">
        <f>C35*$F$28*E35</f>
        <v>2.5668562500000003</v>
      </c>
      <c r="G35" s="122" t="s">
        <v>103</v>
      </c>
    </row>
    <row r="36" spans="1:7" ht="14.25" customHeight="1" x14ac:dyDescent="0.25">
      <c r="A36" s="126"/>
      <c r="B36" s="118" t="s">
        <v>124</v>
      </c>
      <c r="C36" s="119"/>
      <c r="D36" s="118"/>
      <c r="E36" s="143"/>
      <c r="F36" s="130">
        <f>SUM(F32:F35)</f>
        <v>36.551961250000005</v>
      </c>
      <c r="G36" s="126" t="s">
        <v>103</v>
      </c>
    </row>
    <row r="37" spans="1:7" ht="14.25" customHeight="1" x14ac:dyDescent="0.25">
      <c r="A37" s="126"/>
      <c r="B37" s="118"/>
      <c r="C37" s="119"/>
      <c r="D37" s="118"/>
      <c r="E37" s="123"/>
      <c r="F37" s="130"/>
      <c r="G37" s="126"/>
    </row>
    <row r="38" spans="1:7" ht="14.25" customHeight="1" x14ac:dyDescent="0.25">
      <c r="A38" s="126">
        <v>7</v>
      </c>
      <c r="B38" s="127" t="s">
        <v>125</v>
      </c>
      <c r="C38" s="128"/>
      <c r="D38" s="127"/>
      <c r="E38" s="131">
        <v>0.62</v>
      </c>
      <c r="F38" s="130">
        <f>F20*E38</f>
        <v>68.192250000000001</v>
      </c>
      <c r="G38" s="126" t="s">
        <v>103</v>
      </c>
    </row>
    <row r="39" spans="1:7" ht="14.25" customHeight="1" x14ac:dyDescent="0.25">
      <c r="A39" s="122"/>
      <c r="B39" s="118"/>
      <c r="C39" s="119"/>
      <c r="D39" s="118"/>
      <c r="E39" s="123"/>
      <c r="F39" s="121"/>
      <c r="G39" s="122"/>
    </row>
    <row r="40" spans="1:7" ht="14.25" customHeight="1" x14ac:dyDescent="0.25">
      <c r="A40" s="126">
        <v>8</v>
      </c>
      <c r="B40" s="127" t="s">
        <v>126</v>
      </c>
      <c r="C40" s="128"/>
      <c r="D40" s="127"/>
      <c r="E40" s="131"/>
      <c r="F40" s="130">
        <f>F20+F22+F24+F26+F29+F36+F38</f>
        <v>704.56293625000012</v>
      </c>
      <c r="G40" s="126" t="s">
        <v>103</v>
      </c>
    </row>
    <row r="41" spans="1:7" ht="14.25" customHeight="1" x14ac:dyDescent="0.25">
      <c r="A41" s="126"/>
      <c r="B41" s="127"/>
      <c r="C41" s="128"/>
      <c r="D41" s="127"/>
      <c r="E41" s="131"/>
      <c r="F41" s="130"/>
      <c r="G41" s="126"/>
    </row>
    <row r="42" spans="1:7" ht="14.25" customHeight="1" x14ac:dyDescent="0.25">
      <c r="A42" s="126">
        <v>9</v>
      </c>
      <c r="B42" s="127" t="s">
        <v>127</v>
      </c>
      <c r="C42" s="128"/>
      <c r="D42" s="127"/>
      <c r="E42" s="131"/>
      <c r="F42" s="130"/>
      <c r="G42" s="126"/>
    </row>
    <row r="43" spans="1:7" ht="14.25" customHeight="1" x14ac:dyDescent="0.25">
      <c r="A43" s="122"/>
      <c r="B43" s="118" t="s">
        <v>128</v>
      </c>
      <c r="C43" s="119"/>
      <c r="D43" s="118"/>
      <c r="E43" s="123">
        <v>0.1</v>
      </c>
      <c r="F43" s="121">
        <f>F40*E43</f>
        <v>70.456293625000015</v>
      </c>
      <c r="G43" s="122" t="s">
        <v>103</v>
      </c>
    </row>
    <row r="44" spans="1:7" ht="14.25" customHeight="1" x14ac:dyDescent="0.25">
      <c r="A44" s="122"/>
      <c r="B44" s="118" t="s">
        <v>129</v>
      </c>
      <c r="C44" s="119"/>
      <c r="D44" s="118"/>
      <c r="E44" s="123">
        <v>0.15</v>
      </c>
      <c r="F44" s="121">
        <f>F40*E44</f>
        <v>105.68444043750002</v>
      </c>
      <c r="G44" s="122" t="s">
        <v>103</v>
      </c>
    </row>
    <row r="45" spans="1:7" ht="14.25" customHeight="1" x14ac:dyDescent="0.25">
      <c r="A45" s="122"/>
      <c r="B45" s="118"/>
      <c r="C45" s="119"/>
      <c r="D45" s="118"/>
      <c r="E45" s="123"/>
      <c r="F45" s="121"/>
      <c r="G45" s="122"/>
    </row>
    <row r="46" spans="1:7" ht="14.25" customHeight="1" x14ac:dyDescent="0.25">
      <c r="A46" s="126">
        <v>10</v>
      </c>
      <c r="B46" s="127" t="s">
        <v>130</v>
      </c>
      <c r="C46" s="128"/>
      <c r="D46" s="127"/>
      <c r="E46" s="131"/>
      <c r="F46" s="130"/>
      <c r="G46" s="126"/>
    </row>
    <row r="47" spans="1:7" ht="14.25" customHeight="1" x14ac:dyDescent="0.25">
      <c r="A47" s="122"/>
      <c r="B47" s="118" t="s">
        <v>128</v>
      </c>
      <c r="C47" s="119"/>
      <c r="D47" s="118"/>
      <c r="E47" s="123"/>
      <c r="F47" s="130">
        <f>F40+F43</f>
        <v>775.01922987500018</v>
      </c>
      <c r="G47" s="126" t="s">
        <v>103</v>
      </c>
    </row>
    <row r="48" spans="1:7" ht="14.25" customHeight="1" x14ac:dyDescent="0.25">
      <c r="A48" s="122"/>
      <c r="B48" s="118" t="s">
        <v>129</v>
      </c>
      <c r="C48" s="119"/>
      <c r="D48" s="118"/>
      <c r="E48" s="123"/>
      <c r="F48" s="130">
        <f>F40+F44</f>
        <v>810.24737668750015</v>
      </c>
      <c r="G48" s="126" t="s">
        <v>103</v>
      </c>
    </row>
    <row r="49" spans="1:7" ht="14.25" customHeight="1" x14ac:dyDescent="0.25">
      <c r="A49" s="113"/>
      <c r="B49" s="113"/>
      <c r="C49" s="114"/>
      <c r="D49" s="113"/>
      <c r="E49" s="116"/>
      <c r="F49" s="117"/>
      <c r="G49" s="117"/>
    </row>
    <row r="50" spans="1:7" ht="14.25" customHeight="1" x14ac:dyDescent="0.25">
      <c r="A50" s="113"/>
      <c r="B50" s="113"/>
      <c r="C50" s="114"/>
      <c r="D50" s="113"/>
      <c r="E50" s="116"/>
      <c r="F50" s="117"/>
      <c r="G50" s="113"/>
    </row>
    <row r="51" spans="1:7" ht="14.25" customHeight="1" x14ac:dyDescent="0.25">
      <c r="A51" s="31"/>
      <c r="B51" s="90" t="s">
        <v>56</v>
      </c>
      <c r="C51" s="90"/>
      <c r="D51" s="90"/>
      <c r="E51" s="31"/>
      <c r="F51" s="67" t="s">
        <v>58</v>
      </c>
      <c r="G51" s="31"/>
    </row>
    <row r="52" spans="1:7" ht="14.25" customHeight="1" x14ac:dyDescent="0.25">
      <c r="A52" s="31"/>
      <c r="B52" s="91" t="s">
        <v>57</v>
      </c>
      <c r="C52" s="90"/>
      <c r="D52" s="90"/>
      <c r="E52" s="31"/>
      <c r="F52" s="42"/>
      <c r="G52" s="31"/>
    </row>
  </sheetData>
  <mergeCells count="10">
    <mergeCell ref="B12:D12"/>
    <mergeCell ref="B14:D14"/>
    <mergeCell ref="C28:D28"/>
    <mergeCell ref="C29:D29"/>
    <mergeCell ref="A6:G6"/>
    <mergeCell ref="A7:G7"/>
    <mergeCell ref="A8:A9"/>
    <mergeCell ref="B8:D9"/>
    <mergeCell ref="E8:E9"/>
    <mergeCell ref="F8:G8"/>
  </mergeCell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0"/>
  <sheetViews>
    <sheetView topLeftCell="A13" workbookViewId="0">
      <selection activeCell="G15" sqref="G15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17" t="s">
        <v>163</v>
      </c>
      <c r="B1" s="317"/>
      <c r="C1" s="317"/>
      <c r="D1" s="317"/>
      <c r="E1" s="317"/>
      <c r="F1" s="317"/>
      <c r="G1" s="317"/>
    </row>
    <row r="2" spans="1:7" x14ac:dyDescent="0.25">
      <c r="A2" s="316" t="s">
        <v>135</v>
      </c>
      <c r="B2" s="316"/>
      <c r="C2" s="316"/>
      <c r="D2" s="316"/>
      <c r="E2" s="316"/>
      <c r="F2" s="316"/>
      <c r="G2" s="3"/>
    </row>
    <row r="3" spans="1:7" x14ac:dyDescent="0.25">
      <c r="A3" s="94"/>
      <c r="B3" s="5">
        <f>'План. расчет времени'!F23</f>
        <v>1195.8976426962618</v>
      </c>
      <c r="C3" s="3" t="s">
        <v>136</v>
      </c>
      <c r="D3" s="3"/>
      <c r="E3" s="3"/>
      <c r="F3" s="3"/>
      <c r="G3" s="3"/>
    </row>
    <row r="4" spans="1:7" x14ac:dyDescent="0.25">
      <c r="A4" s="316" t="s">
        <v>137</v>
      </c>
      <c r="B4" s="316"/>
      <c r="C4" s="316"/>
      <c r="D4" s="316"/>
      <c r="E4" s="316"/>
      <c r="F4" s="316"/>
      <c r="G4" s="93"/>
    </row>
    <row r="5" spans="1:7" x14ac:dyDescent="0.25">
      <c r="A5" s="3"/>
      <c r="B5" s="3">
        <v>80</v>
      </c>
      <c r="C5" s="3" t="s">
        <v>136</v>
      </c>
      <c r="D5" s="3"/>
      <c r="E5" s="3"/>
      <c r="F5" s="3"/>
      <c r="G5" s="93"/>
    </row>
    <row r="6" spans="1:7" x14ac:dyDescent="0.25">
      <c r="A6" s="316" t="s">
        <v>164</v>
      </c>
      <c r="B6" s="316"/>
      <c r="C6" s="316"/>
      <c r="D6" s="316"/>
      <c r="E6" s="316"/>
      <c r="F6" s="316"/>
      <c r="G6" s="93"/>
    </row>
    <row r="7" spans="1:7" x14ac:dyDescent="0.25">
      <c r="A7" s="316" t="s">
        <v>139</v>
      </c>
      <c r="B7" s="316"/>
      <c r="C7" s="316"/>
      <c r="D7" s="316"/>
      <c r="E7" s="316"/>
      <c r="F7" s="316"/>
      <c r="G7" s="316"/>
    </row>
    <row r="8" spans="1:7" x14ac:dyDescent="0.25">
      <c r="A8" s="316" t="s">
        <v>165</v>
      </c>
      <c r="B8" s="316"/>
      <c r="C8" s="316"/>
      <c r="D8" s="316"/>
      <c r="E8" s="316"/>
      <c r="F8" s="316"/>
      <c r="G8" s="3"/>
    </row>
    <row r="9" spans="1:7" x14ac:dyDescent="0.25">
      <c r="A9" s="93"/>
      <c r="B9" s="93"/>
      <c r="C9" s="93"/>
      <c r="D9" s="3">
        <v>80</v>
      </c>
      <c r="E9" s="3" t="s">
        <v>136</v>
      </c>
      <c r="F9" s="3"/>
      <c r="G9" s="3"/>
    </row>
    <row r="10" spans="1:7" x14ac:dyDescent="0.25">
      <c r="A10" s="319" t="s">
        <v>141</v>
      </c>
      <c r="B10" s="319"/>
      <c r="C10" s="319"/>
      <c r="D10" s="5">
        <f>B3-B5-D9</f>
        <v>1035.8976426962618</v>
      </c>
      <c r="E10" s="3" t="s">
        <v>136</v>
      </c>
      <c r="F10" s="3"/>
      <c r="G10" s="93"/>
    </row>
    <row r="11" spans="1:7" x14ac:dyDescent="0.25">
      <c r="A11" s="93"/>
      <c r="B11" s="93"/>
      <c r="C11" s="93"/>
      <c r="D11" s="93"/>
      <c r="E11" s="93"/>
      <c r="F11" s="93"/>
      <c r="G11" s="93"/>
    </row>
    <row r="12" spans="1:7" x14ac:dyDescent="0.25">
      <c r="A12" s="316" t="s">
        <v>142</v>
      </c>
      <c r="B12" s="316"/>
      <c r="C12" s="316"/>
      <c r="D12" s="316"/>
      <c r="E12" s="316"/>
      <c r="F12" s="3">
        <v>100312</v>
      </c>
      <c r="G12" s="3" t="s">
        <v>103</v>
      </c>
    </row>
    <row r="13" spans="1:7" x14ac:dyDescent="0.25">
      <c r="A13" s="93"/>
      <c r="B13" s="93"/>
      <c r="C13" s="3"/>
      <c r="D13" s="3"/>
      <c r="E13" s="3"/>
      <c r="F13" s="94"/>
      <c r="G13" s="94"/>
    </row>
    <row r="14" spans="1:7" ht="15.75" thickBot="1" x14ac:dyDescent="0.3">
      <c r="A14" s="375" t="s">
        <v>143</v>
      </c>
      <c r="B14" s="373" t="s">
        <v>144</v>
      </c>
      <c r="C14" s="373"/>
      <c r="D14" s="373"/>
      <c r="E14" s="3"/>
      <c r="F14" s="94"/>
      <c r="G14" s="94"/>
    </row>
    <row r="15" spans="1:7" x14ac:dyDescent="0.25">
      <c r="A15" s="375"/>
      <c r="B15" s="374" t="s">
        <v>145</v>
      </c>
      <c r="C15" s="374"/>
      <c r="D15" s="374"/>
      <c r="E15" s="3"/>
      <c r="F15" s="94"/>
      <c r="G15" s="94"/>
    </row>
    <row r="16" spans="1:7" x14ac:dyDescent="0.25">
      <c r="A16" s="99"/>
      <c r="B16" s="100"/>
      <c r="C16" s="100"/>
      <c r="D16" s="100"/>
      <c r="E16" s="3"/>
      <c r="F16" s="94"/>
      <c r="G16" s="94"/>
    </row>
    <row r="17" spans="1:7" ht="15.75" thickBot="1" x14ac:dyDescent="0.3">
      <c r="A17" s="372" t="s">
        <v>146</v>
      </c>
      <c r="B17" s="372"/>
      <c r="C17" s="373" t="s">
        <v>147</v>
      </c>
      <c r="D17" s="373"/>
      <c r="E17" s="373"/>
      <c r="F17" s="94"/>
      <c r="G17" s="94"/>
    </row>
    <row r="18" spans="1:7" x14ac:dyDescent="0.25">
      <c r="A18" s="372"/>
      <c r="B18" s="372"/>
      <c r="C18" s="374" t="s">
        <v>145</v>
      </c>
      <c r="D18" s="374"/>
      <c r="E18" s="374"/>
      <c r="F18" s="94"/>
      <c r="G18" s="94"/>
    </row>
    <row r="19" spans="1:7" x14ac:dyDescent="0.25">
      <c r="A19" s="9"/>
      <c r="B19" s="9"/>
      <c r="C19" s="101"/>
      <c r="D19" s="101"/>
      <c r="E19" s="101"/>
      <c r="F19" s="94"/>
      <c r="G19" s="94"/>
    </row>
    <row r="20" spans="1:7" x14ac:dyDescent="0.25">
      <c r="A20" s="9"/>
      <c r="B20" s="9"/>
      <c r="C20" s="101"/>
      <c r="D20" s="101"/>
      <c r="E20" s="320" t="s">
        <v>13</v>
      </c>
      <c r="F20" s="320"/>
      <c r="G20" s="94"/>
    </row>
    <row r="21" spans="1:7" x14ac:dyDescent="0.25">
      <c r="A21" s="321" t="s">
        <v>148</v>
      </c>
      <c r="B21" s="321"/>
      <c r="C21" s="321"/>
      <c r="D21" s="321"/>
      <c r="E21" s="321"/>
      <c r="F21" s="321"/>
      <c r="G21" s="94"/>
    </row>
    <row r="22" spans="1:7" x14ac:dyDescent="0.25">
      <c r="A22" s="377" t="s">
        <v>149</v>
      </c>
      <c r="B22" s="379" t="s">
        <v>16</v>
      </c>
      <c r="C22" s="380"/>
      <c r="D22" s="380"/>
      <c r="E22" s="381" t="s">
        <v>150</v>
      </c>
      <c r="F22" s="381"/>
      <c r="G22" s="102"/>
    </row>
    <row r="23" spans="1:7" ht="45" x14ac:dyDescent="0.25">
      <c r="A23" s="378"/>
      <c r="B23" s="103" t="s">
        <v>151</v>
      </c>
      <c r="C23" s="103" t="s">
        <v>152</v>
      </c>
      <c r="D23" s="104" t="s">
        <v>153</v>
      </c>
      <c r="E23" s="103" t="s">
        <v>154</v>
      </c>
      <c r="F23" s="103" t="s">
        <v>155</v>
      </c>
      <c r="G23" s="105"/>
    </row>
    <row r="24" spans="1:7" x14ac:dyDescent="0.25">
      <c r="A24" s="106" t="s">
        <v>166</v>
      </c>
      <c r="B24" s="107">
        <v>0</v>
      </c>
      <c r="C24" s="108">
        <f>F12</f>
        <v>100312</v>
      </c>
      <c r="D24" s="109">
        <f>D10</f>
        <v>1035.8976426962618</v>
      </c>
      <c r="E24" s="108">
        <f>B24/D24</f>
        <v>0</v>
      </c>
      <c r="F24" s="107">
        <f>C24/D24</f>
        <v>96.835822252578239</v>
      </c>
      <c r="G24" s="12"/>
    </row>
    <row r="25" spans="1:7" x14ac:dyDescent="0.25">
      <c r="A25" s="94"/>
      <c r="B25" s="94"/>
      <c r="C25" s="94"/>
      <c r="D25" s="94"/>
      <c r="E25" s="94"/>
      <c r="F25" s="94"/>
      <c r="G25" s="94"/>
    </row>
    <row r="26" spans="1:7" x14ac:dyDescent="0.25">
      <c r="A26" s="94"/>
      <c r="B26" s="94"/>
      <c r="C26" s="94"/>
      <c r="D26" s="94"/>
      <c r="E26" s="94"/>
      <c r="F26" s="94"/>
      <c r="G26" s="94"/>
    </row>
    <row r="27" spans="1:7" x14ac:dyDescent="0.25">
      <c r="A27" s="94"/>
      <c r="B27" s="94"/>
      <c r="C27" s="94"/>
      <c r="D27" s="94"/>
      <c r="E27" s="94"/>
      <c r="F27" s="94"/>
      <c r="G27" s="94"/>
    </row>
    <row r="28" spans="1:7" x14ac:dyDescent="0.25">
      <c r="A28" s="94"/>
      <c r="B28" s="94"/>
      <c r="C28" s="94"/>
      <c r="D28" s="94"/>
      <c r="E28" s="94"/>
      <c r="F28" s="94"/>
      <c r="G28" s="94"/>
    </row>
    <row r="29" spans="1:7" ht="15.75" x14ac:dyDescent="0.25">
      <c r="A29" s="382" t="s">
        <v>56</v>
      </c>
      <c r="B29" s="382"/>
      <c r="C29" s="382"/>
      <c r="D29" s="31"/>
      <c r="E29" s="340" t="s">
        <v>58</v>
      </c>
      <c r="F29" s="340"/>
      <c r="G29" s="340"/>
    </row>
    <row r="30" spans="1:7" ht="15.75" x14ac:dyDescent="0.25">
      <c r="A30" s="376" t="s">
        <v>57</v>
      </c>
      <c r="B30" s="376"/>
      <c r="C30" s="376"/>
      <c r="D30" s="31"/>
      <c r="E30" s="31"/>
      <c r="F30" s="91"/>
      <c r="G30" s="31"/>
    </row>
  </sheetData>
  <mergeCells count="22">
    <mergeCell ref="A30:C30"/>
    <mergeCell ref="E20:F20"/>
    <mergeCell ref="A21:F21"/>
    <mergeCell ref="A22:A23"/>
    <mergeCell ref="B22:D22"/>
    <mergeCell ref="E22:F22"/>
    <mergeCell ref="A29:C29"/>
    <mergeCell ref="E29:G29"/>
    <mergeCell ref="A17:B18"/>
    <mergeCell ref="C17:E17"/>
    <mergeCell ref="C18:E18"/>
    <mergeCell ref="A1:G1"/>
    <mergeCell ref="A2:F2"/>
    <mergeCell ref="A4:F4"/>
    <mergeCell ref="A6:F6"/>
    <mergeCell ref="A7:G7"/>
    <mergeCell ref="A8:F8"/>
    <mergeCell ref="A10:C10"/>
    <mergeCell ref="A12:E12"/>
    <mergeCell ref="A14:A15"/>
    <mergeCell ref="B14:D14"/>
    <mergeCell ref="B15:D1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2"/>
  <sheetViews>
    <sheetView workbookViewId="0">
      <selection activeCell="F25" sqref="F25"/>
    </sheetView>
  </sheetViews>
  <sheetFormatPr defaultRowHeight="15" x14ac:dyDescent="0.25"/>
  <cols>
    <col min="1" max="1" width="6.28515625" customWidth="1"/>
    <col min="2" max="2" width="31.42578125" customWidth="1"/>
    <col min="3" max="3" width="8.7109375" customWidth="1"/>
    <col min="4" max="4" width="13.140625" customWidth="1"/>
    <col min="5" max="5" width="9.7109375" customWidth="1"/>
    <col min="6" max="6" width="15.5703125" customWidth="1"/>
    <col min="7" max="7" width="13.28515625" customWidth="1"/>
  </cols>
  <sheetData>
    <row r="1" spans="1:7" ht="14.25" customHeight="1" x14ac:dyDescent="0.25">
      <c r="A1" s="113"/>
      <c r="B1" s="113"/>
      <c r="C1" s="144"/>
      <c r="D1" s="117"/>
      <c r="E1" s="113"/>
      <c r="F1" s="117"/>
      <c r="G1" s="115" t="s">
        <v>167</v>
      </c>
    </row>
    <row r="2" spans="1:7" ht="14.25" customHeight="1" x14ac:dyDescent="0.25">
      <c r="A2" s="113"/>
      <c r="B2" s="113"/>
      <c r="C2" s="144"/>
      <c r="D2" s="117"/>
      <c r="E2" s="113"/>
      <c r="F2" s="117"/>
      <c r="G2" s="115" t="s">
        <v>61</v>
      </c>
    </row>
    <row r="3" spans="1:7" ht="14.25" customHeight="1" x14ac:dyDescent="0.25">
      <c r="A3" s="113"/>
      <c r="B3" s="113"/>
      <c r="C3" s="144"/>
      <c r="D3" s="117"/>
      <c r="E3" s="113"/>
      <c r="F3" s="117"/>
      <c r="G3" s="115" t="s">
        <v>416</v>
      </c>
    </row>
    <row r="4" spans="1:7" ht="14.25" customHeight="1" x14ac:dyDescent="0.25">
      <c r="A4" s="113"/>
      <c r="B4" s="113"/>
      <c r="C4" s="144"/>
      <c r="D4" s="117"/>
      <c r="E4" s="113"/>
      <c r="F4" s="117"/>
      <c r="G4" s="115" t="s">
        <v>417</v>
      </c>
    </row>
    <row r="5" spans="1:7" ht="14.25" customHeight="1" x14ac:dyDescent="0.25">
      <c r="A5" s="113"/>
      <c r="B5" s="113"/>
      <c r="C5" s="144"/>
      <c r="D5" s="117"/>
      <c r="E5" s="113"/>
      <c r="F5" s="117"/>
      <c r="G5" s="113"/>
    </row>
    <row r="6" spans="1:7" ht="14.25" customHeight="1" x14ac:dyDescent="0.25">
      <c r="A6" s="394" t="s">
        <v>98</v>
      </c>
      <c r="B6" s="394"/>
      <c r="C6" s="394"/>
      <c r="D6" s="394"/>
      <c r="E6" s="394"/>
      <c r="F6" s="394"/>
      <c r="G6" s="394"/>
    </row>
    <row r="7" spans="1:7" ht="14.25" customHeight="1" x14ac:dyDescent="0.25">
      <c r="A7" s="394" t="s">
        <v>168</v>
      </c>
      <c r="B7" s="394"/>
      <c r="C7" s="394"/>
      <c r="D7" s="394"/>
      <c r="E7" s="394"/>
      <c r="F7" s="394"/>
      <c r="G7" s="394"/>
    </row>
    <row r="8" spans="1:7" ht="14.25" customHeight="1" x14ac:dyDescent="0.25">
      <c r="A8" s="395" t="s">
        <v>14</v>
      </c>
      <c r="B8" s="397" t="s">
        <v>100</v>
      </c>
      <c r="C8" s="398"/>
      <c r="D8" s="398"/>
      <c r="E8" s="399"/>
      <c r="F8" s="403" t="s">
        <v>101</v>
      </c>
      <c r="G8" s="403"/>
    </row>
    <row r="9" spans="1:7" ht="14.25" customHeight="1" x14ac:dyDescent="0.25">
      <c r="A9" s="396"/>
      <c r="B9" s="400"/>
      <c r="C9" s="401"/>
      <c r="D9" s="401"/>
      <c r="E9" s="402"/>
      <c r="F9" s="145" t="s">
        <v>102</v>
      </c>
      <c r="G9" s="146" t="s">
        <v>64</v>
      </c>
    </row>
    <row r="10" spans="1:7" ht="14.25" customHeight="1" x14ac:dyDescent="0.25">
      <c r="A10" s="118"/>
      <c r="B10" s="118" t="s">
        <v>158</v>
      </c>
      <c r="C10" s="122"/>
      <c r="D10" s="118"/>
      <c r="E10" s="118"/>
      <c r="F10" s="121">
        <v>62.85</v>
      </c>
      <c r="G10" s="122" t="s">
        <v>103</v>
      </c>
    </row>
    <row r="11" spans="1:7" ht="14.25" customHeight="1" x14ac:dyDescent="0.25">
      <c r="A11" s="118"/>
      <c r="B11" s="118"/>
      <c r="C11" s="122"/>
      <c r="D11" s="118"/>
      <c r="E11" s="118"/>
      <c r="F11" s="121"/>
      <c r="G11" s="122"/>
    </row>
    <row r="12" spans="1:7" ht="14.25" customHeight="1" x14ac:dyDescent="0.25">
      <c r="A12" s="118"/>
      <c r="B12" s="118" t="s">
        <v>104</v>
      </c>
      <c r="C12" s="122"/>
      <c r="D12" s="118"/>
      <c r="E12" s="147">
        <v>0.25</v>
      </c>
      <c r="F12" s="121">
        <f>F10*E12</f>
        <v>15.7125</v>
      </c>
      <c r="G12" s="122" t="s">
        <v>103</v>
      </c>
    </row>
    <row r="13" spans="1:7" ht="14.25" customHeight="1" x14ac:dyDescent="0.25">
      <c r="A13" s="118"/>
      <c r="B13" s="118"/>
      <c r="C13" s="122"/>
      <c r="D13" s="118"/>
      <c r="E13" s="118"/>
      <c r="F13" s="121"/>
      <c r="G13" s="122"/>
    </row>
    <row r="14" spans="1:7" ht="14.25" customHeight="1" x14ac:dyDescent="0.25">
      <c r="A14" s="118"/>
      <c r="B14" s="118" t="s">
        <v>105</v>
      </c>
      <c r="C14" s="122"/>
      <c r="D14" s="118"/>
      <c r="E14" s="147">
        <v>0.1</v>
      </c>
      <c r="F14" s="121">
        <f>F10*E14</f>
        <v>6.2850000000000001</v>
      </c>
      <c r="G14" s="122"/>
    </row>
    <row r="15" spans="1:7" ht="14.25" customHeight="1" x14ac:dyDescent="0.25">
      <c r="A15" s="118"/>
      <c r="B15" s="118"/>
      <c r="C15" s="122"/>
      <c r="D15" s="118"/>
      <c r="E15" s="118"/>
      <c r="F15" s="121"/>
      <c r="G15" s="122"/>
    </row>
    <row r="16" spans="1:7" ht="14.25" customHeight="1" x14ac:dyDescent="0.25">
      <c r="A16" s="118"/>
      <c r="B16" s="118" t="s">
        <v>106</v>
      </c>
      <c r="C16" s="122"/>
      <c r="D16" s="118"/>
      <c r="E16" s="147">
        <v>0.4</v>
      </c>
      <c r="F16" s="121">
        <f>F10*E16</f>
        <v>25.14</v>
      </c>
      <c r="G16" s="122" t="s">
        <v>103</v>
      </c>
    </row>
    <row r="17" spans="1:7" ht="14.25" customHeight="1" x14ac:dyDescent="0.25">
      <c r="A17" s="118"/>
      <c r="B17" s="118"/>
      <c r="C17" s="122"/>
      <c r="D17" s="118"/>
      <c r="E17" s="147"/>
      <c r="F17" s="121"/>
      <c r="G17" s="122"/>
    </row>
    <row r="18" spans="1:7" ht="14.25" customHeight="1" x14ac:dyDescent="0.25">
      <c r="A18" s="118"/>
      <c r="B18" s="118" t="s">
        <v>107</v>
      </c>
      <c r="C18" s="122"/>
      <c r="D18" s="118"/>
      <c r="E18" s="118"/>
      <c r="F18" s="121">
        <v>60</v>
      </c>
      <c r="G18" s="122" t="s">
        <v>108</v>
      </c>
    </row>
    <row r="19" spans="1:7" ht="14.25" customHeight="1" x14ac:dyDescent="0.25">
      <c r="A19" s="118"/>
      <c r="B19" s="118"/>
      <c r="C19" s="122"/>
      <c r="D19" s="118"/>
      <c r="E19" s="118"/>
      <c r="F19" s="121"/>
      <c r="G19" s="118"/>
    </row>
    <row r="20" spans="1:7" ht="14.25" customHeight="1" x14ac:dyDescent="0.25">
      <c r="A20" s="126">
        <v>1</v>
      </c>
      <c r="B20" s="127" t="s">
        <v>109</v>
      </c>
      <c r="C20" s="126"/>
      <c r="D20" s="127"/>
      <c r="E20" s="127"/>
      <c r="F20" s="130">
        <f>F10+F12+F14+F16</f>
        <v>109.9875</v>
      </c>
      <c r="G20" s="126" t="s">
        <v>103</v>
      </c>
    </row>
    <row r="21" spans="1:7" ht="14.25" customHeight="1" x14ac:dyDescent="0.25">
      <c r="A21" s="122"/>
      <c r="B21" s="118"/>
      <c r="C21" s="122"/>
      <c r="D21" s="118"/>
      <c r="E21" s="118"/>
      <c r="F21" s="121"/>
      <c r="G21" s="122"/>
    </row>
    <row r="22" spans="1:7" ht="14.25" customHeight="1" x14ac:dyDescent="0.25">
      <c r="A22" s="126">
        <v>2</v>
      </c>
      <c r="B22" s="127" t="s">
        <v>169</v>
      </c>
      <c r="C22" s="126"/>
      <c r="D22" s="127"/>
      <c r="E22" s="148">
        <v>0.30199999999999999</v>
      </c>
      <c r="F22" s="130">
        <f>E22*F20</f>
        <v>33.216225000000001</v>
      </c>
      <c r="G22" s="126" t="s">
        <v>103</v>
      </c>
    </row>
    <row r="23" spans="1:7" ht="14.25" customHeight="1" x14ac:dyDescent="0.25">
      <c r="A23" s="122"/>
      <c r="B23" s="118"/>
      <c r="C23" s="122"/>
      <c r="D23" s="118"/>
      <c r="E23" s="147"/>
      <c r="F23" s="121"/>
      <c r="G23" s="122"/>
    </row>
    <row r="24" spans="1:7" ht="14.25" customHeight="1" x14ac:dyDescent="0.25">
      <c r="A24" s="126">
        <v>3</v>
      </c>
      <c r="B24" s="127" t="s">
        <v>111</v>
      </c>
      <c r="C24" s="126"/>
      <c r="D24" s="127"/>
      <c r="E24" s="148"/>
      <c r="F24" s="130">
        <f>'Пробег УАЗ'!E25</f>
        <v>16.071318412263416</v>
      </c>
      <c r="G24" s="126" t="s">
        <v>103</v>
      </c>
    </row>
    <row r="25" spans="1:7" ht="14.25" customHeight="1" x14ac:dyDescent="0.25">
      <c r="A25" s="122"/>
      <c r="B25" s="118"/>
      <c r="C25" s="122"/>
      <c r="D25" s="118"/>
      <c r="E25" s="147"/>
      <c r="F25" s="121"/>
      <c r="G25" s="122"/>
    </row>
    <row r="26" spans="1:7" ht="14.25" customHeight="1" x14ac:dyDescent="0.25">
      <c r="A26" s="126">
        <v>4</v>
      </c>
      <c r="B26" s="127" t="s">
        <v>113</v>
      </c>
      <c r="C26" s="126"/>
      <c r="D26" s="127"/>
      <c r="E26" s="148"/>
      <c r="F26" s="130">
        <f>'Пробег УАЗ'!F25</f>
        <v>41.819853558846333</v>
      </c>
      <c r="G26" s="126" t="s">
        <v>103</v>
      </c>
    </row>
    <row r="27" spans="1:7" ht="14.25" customHeight="1" x14ac:dyDescent="0.25">
      <c r="A27" s="122"/>
      <c r="B27" s="118"/>
      <c r="C27" s="122"/>
      <c r="D27" s="118"/>
      <c r="E27" s="147"/>
      <c r="F27" s="121"/>
      <c r="G27" s="122"/>
    </row>
    <row r="28" spans="1:7" ht="14.25" customHeight="1" x14ac:dyDescent="0.25">
      <c r="A28" s="126">
        <v>5</v>
      </c>
      <c r="B28" s="127" t="s">
        <v>114</v>
      </c>
      <c r="C28" s="124" t="s">
        <v>170</v>
      </c>
      <c r="D28" s="127"/>
      <c r="E28" s="127"/>
      <c r="F28" s="121">
        <f>0.185*60</f>
        <v>11.1</v>
      </c>
      <c r="G28" s="122" t="s">
        <v>116</v>
      </c>
    </row>
    <row r="29" spans="1:7" ht="14.25" customHeight="1" x14ac:dyDescent="0.25">
      <c r="A29" s="122"/>
      <c r="B29" s="118"/>
      <c r="C29" s="149">
        <f>F28</f>
        <v>11.1</v>
      </c>
      <c r="D29" s="118"/>
      <c r="E29" s="118">
        <v>34.119999999999997</v>
      </c>
      <c r="F29" s="135">
        <f>F28*E29</f>
        <v>378.73199999999997</v>
      </c>
      <c r="G29" s="126" t="s">
        <v>103</v>
      </c>
    </row>
    <row r="30" spans="1:7" ht="14.25" customHeight="1" x14ac:dyDescent="0.25">
      <c r="A30" s="122"/>
      <c r="B30" s="118"/>
      <c r="C30" s="122"/>
      <c r="D30" s="118"/>
      <c r="E30" s="147"/>
      <c r="F30" s="121"/>
      <c r="G30" s="122"/>
    </row>
    <row r="31" spans="1:7" ht="14.25" customHeight="1" x14ac:dyDescent="0.25">
      <c r="A31" s="122">
        <v>6</v>
      </c>
      <c r="B31" s="118" t="s">
        <v>117</v>
      </c>
      <c r="C31" s="150"/>
      <c r="D31" s="118"/>
      <c r="E31" s="118"/>
      <c r="F31" s="121"/>
      <c r="G31" s="122"/>
    </row>
    <row r="32" spans="1:7" ht="14.25" customHeight="1" x14ac:dyDescent="0.25">
      <c r="A32" s="122"/>
      <c r="B32" s="118" t="s">
        <v>118</v>
      </c>
      <c r="C32" s="151">
        <v>2.1000000000000001E-2</v>
      </c>
      <c r="D32" s="152" t="s">
        <v>171</v>
      </c>
      <c r="E32" s="153">
        <v>142.52000000000001</v>
      </c>
      <c r="F32" s="121">
        <f>C32*$F$28*E32</f>
        <v>33.221412000000001</v>
      </c>
      <c r="G32" s="122" t="s">
        <v>103</v>
      </c>
    </row>
    <row r="33" spans="1:7" ht="14.25" customHeight="1" x14ac:dyDescent="0.25">
      <c r="A33" s="122"/>
      <c r="B33" s="118" t="s">
        <v>120</v>
      </c>
      <c r="C33" s="151">
        <v>3.0000000000000001E-3</v>
      </c>
      <c r="D33" s="154" t="s">
        <v>171</v>
      </c>
      <c r="E33" s="153">
        <v>88.65</v>
      </c>
      <c r="F33" s="121">
        <f>C33*$F$28*E33</f>
        <v>2.952045</v>
      </c>
      <c r="G33" s="122" t="s">
        <v>103</v>
      </c>
    </row>
    <row r="34" spans="1:7" ht="14.25" customHeight="1" x14ac:dyDescent="0.25">
      <c r="A34" s="122"/>
      <c r="B34" s="118" t="s">
        <v>122</v>
      </c>
      <c r="C34" s="151">
        <v>1E-3</v>
      </c>
      <c r="D34" s="154" t="s">
        <v>171</v>
      </c>
      <c r="E34" s="153">
        <v>56.75</v>
      </c>
      <c r="F34" s="121">
        <f>C34*$F$28*E34</f>
        <v>0.62992500000000007</v>
      </c>
      <c r="G34" s="122" t="s">
        <v>103</v>
      </c>
    </row>
    <row r="35" spans="1:7" ht="14.25" customHeight="1" x14ac:dyDescent="0.25">
      <c r="A35" s="122"/>
      <c r="B35" s="118" t="s">
        <v>123</v>
      </c>
      <c r="C35" s="155">
        <v>2.5000000000000001E-3</v>
      </c>
      <c r="D35" s="156" t="s">
        <v>171</v>
      </c>
      <c r="E35" s="153">
        <v>100.17</v>
      </c>
      <c r="F35" s="121">
        <f>C35*$F$28*E35</f>
        <v>2.7797175000000003</v>
      </c>
      <c r="G35" s="122" t="s">
        <v>103</v>
      </c>
    </row>
    <row r="36" spans="1:7" ht="14.25" customHeight="1" x14ac:dyDescent="0.25">
      <c r="A36" s="122"/>
      <c r="B36" s="118" t="s">
        <v>124</v>
      </c>
      <c r="C36" s="122"/>
      <c r="D36" s="147"/>
      <c r="E36" s="157"/>
      <c r="F36" s="130">
        <f>SUM(F32:F35)</f>
        <v>39.583099500000003</v>
      </c>
      <c r="G36" s="126" t="s">
        <v>103</v>
      </c>
    </row>
    <row r="37" spans="1:7" ht="14.25" customHeight="1" x14ac:dyDescent="0.25">
      <c r="A37" s="122"/>
      <c r="B37" s="118"/>
      <c r="C37" s="122"/>
      <c r="D37" s="118"/>
      <c r="E37" s="147"/>
      <c r="F37" s="121"/>
      <c r="G37" s="122"/>
    </row>
    <row r="38" spans="1:7" ht="14.25" customHeight="1" x14ac:dyDescent="0.25">
      <c r="A38" s="126">
        <v>7</v>
      </c>
      <c r="B38" s="127" t="s">
        <v>125</v>
      </c>
      <c r="C38" s="126"/>
      <c r="D38" s="127"/>
      <c r="E38" s="148">
        <v>0.62</v>
      </c>
      <c r="F38" s="130">
        <f>F20*E38</f>
        <v>68.192250000000001</v>
      </c>
      <c r="G38" s="126" t="s">
        <v>103</v>
      </c>
    </row>
    <row r="39" spans="1:7" ht="14.25" customHeight="1" x14ac:dyDescent="0.25">
      <c r="A39" s="122"/>
      <c r="B39" s="118"/>
      <c r="C39" s="122"/>
      <c r="D39" s="118"/>
      <c r="E39" s="147"/>
      <c r="F39" s="121"/>
      <c r="G39" s="122"/>
    </row>
    <row r="40" spans="1:7" ht="14.25" customHeight="1" x14ac:dyDescent="0.25">
      <c r="A40" s="126">
        <v>8</v>
      </c>
      <c r="B40" s="127" t="s">
        <v>126</v>
      </c>
      <c r="C40" s="126"/>
      <c r="D40" s="127"/>
      <c r="E40" s="148"/>
      <c r="F40" s="130">
        <f>F20+F22+F24+F26+F29+F36+F38</f>
        <v>687.60224647110977</v>
      </c>
      <c r="G40" s="126" t="s">
        <v>103</v>
      </c>
    </row>
    <row r="41" spans="1:7" ht="14.25" customHeight="1" x14ac:dyDescent="0.25">
      <c r="A41" s="126"/>
      <c r="B41" s="127"/>
      <c r="C41" s="126"/>
      <c r="D41" s="127"/>
      <c r="E41" s="148"/>
      <c r="F41" s="130"/>
      <c r="G41" s="126"/>
    </row>
    <row r="42" spans="1:7" ht="14.25" customHeight="1" x14ac:dyDescent="0.25">
      <c r="A42" s="126">
        <v>9</v>
      </c>
      <c r="B42" s="127" t="s">
        <v>127</v>
      </c>
      <c r="C42" s="126"/>
      <c r="D42" s="127"/>
      <c r="E42" s="148"/>
      <c r="F42" s="130"/>
      <c r="G42" s="126"/>
    </row>
    <row r="43" spans="1:7" ht="14.25" customHeight="1" x14ac:dyDescent="0.25">
      <c r="A43" s="122"/>
      <c r="B43" s="118" t="s">
        <v>128</v>
      </c>
      <c r="C43" s="122"/>
      <c r="D43" s="118"/>
      <c r="E43" s="147">
        <v>0.1</v>
      </c>
      <c r="F43" s="121">
        <f>F40*E43</f>
        <v>68.760224647110974</v>
      </c>
      <c r="G43" s="122" t="s">
        <v>103</v>
      </c>
    </row>
    <row r="44" spans="1:7" ht="14.25" customHeight="1" x14ac:dyDescent="0.25">
      <c r="A44" s="122"/>
      <c r="B44" s="118" t="s">
        <v>129</v>
      </c>
      <c r="C44" s="122"/>
      <c r="D44" s="118"/>
      <c r="E44" s="147">
        <v>0.15</v>
      </c>
      <c r="F44" s="121">
        <f>F40*E44</f>
        <v>103.14033697066647</v>
      </c>
      <c r="G44" s="122" t="s">
        <v>103</v>
      </c>
    </row>
    <row r="45" spans="1:7" ht="14.25" customHeight="1" x14ac:dyDescent="0.25">
      <c r="A45" s="122"/>
      <c r="B45" s="118"/>
      <c r="C45" s="122"/>
      <c r="D45" s="118"/>
      <c r="E45" s="147"/>
      <c r="F45" s="121"/>
      <c r="G45" s="122"/>
    </row>
    <row r="46" spans="1:7" ht="14.25" customHeight="1" x14ac:dyDescent="0.25">
      <c r="A46" s="126">
        <v>10</v>
      </c>
      <c r="B46" s="127" t="s">
        <v>130</v>
      </c>
      <c r="C46" s="126"/>
      <c r="D46" s="127"/>
      <c r="E46" s="148"/>
      <c r="F46" s="130"/>
      <c r="G46" s="126"/>
    </row>
    <row r="47" spans="1:7" ht="14.25" customHeight="1" x14ac:dyDescent="0.25">
      <c r="A47" s="122"/>
      <c r="B47" s="118" t="s">
        <v>128</v>
      </c>
      <c r="C47" s="122"/>
      <c r="D47" s="118"/>
      <c r="E47" s="147"/>
      <c r="F47" s="130">
        <f>F40+F43</f>
        <v>756.3624711182207</v>
      </c>
      <c r="G47" s="126" t="s">
        <v>103</v>
      </c>
    </row>
    <row r="48" spans="1:7" ht="14.25" customHeight="1" x14ac:dyDescent="0.25">
      <c r="A48" s="122"/>
      <c r="B48" s="118" t="s">
        <v>129</v>
      </c>
      <c r="C48" s="122"/>
      <c r="D48" s="118"/>
      <c r="E48" s="147"/>
      <c r="F48" s="130">
        <f>F40+F44</f>
        <v>790.74258344177622</v>
      </c>
      <c r="G48" s="126" t="s">
        <v>103</v>
      </c>
    </row>
    <row r="49" spans="1:7" ht="14.25" customHeight="1" x14ac:dyDescent="0.25">
      <c r="A49" s="113"/>
      <c r="B49" s="113"/>
      <c r="C49" s="144"/>
      <c r="D49" s="113"/>
      <c r="E49" s="113"/>
      <c r="F49" s="117"/>
      <c r="G49" s="113"/>
    </row>
    <row r="50" spans="1:7" ht="14.25" customHeight="1" x14ac:dyDescent="0.25">
      <c r="A50" s="113"/>
      <c r="B50" s="113"/>
      <c r="C50" s="144"/>
      <c r="D50" s="113"/>
      <c r="E50" s="113"/>
      <c r="F50" s="117"/>
      <c r="G50" s="113"/>
    </row>
    <row r="51" spans="1:7" ht="14.25" customHeight="1" x14ac:dyDescent="0.25">
      <c r="A51" s="31"/>
      <c r="B51" s="90" t="s">
        <v>56</v>
      </c>
      <c r="C51" s="90"/>
      <c r="D51" s="90"/>
      <c r="E51" s="31"/>
      <c r="F51" s="67" t="s">
        <v>58</v>
      </c>
      <c r="G51" s="31"/>
    </row>
    <row r="52" spans="1:7" ht="14.25" customHeight="1" x14ac:dyDescent="0.25">
      <c r="A52" s="31"/>
      <c r="B52" s="91" t="s">
        <v>57</v>
      </c>
      <c r="C52" s="90"/>
      <c r="D52" s="90"/>
      <c r="E52" s="31"/>
      <c r="F52" s="42"/>
      <c r="G52" s="31"/>
    </row>
  </sheetData>
  <mergeCells count="5">
    <mergeCell ref="A6:G6"/>
    <mergeCell ref="A7:G7"/>
    <mergeCell ref="A8:A9"/>
    <mergeCell ref="B8:E9"/>
    <mergeCell ref="F8:G8"/>
  </mergeCell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31"/>
  <sheetViews>
    <sheetView topLeftCell="A16" workbookViewId="0">
      <selection activeCell="F14" sqref="F14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17" t="s">
        <v>172</v>
      </c>
      <c r="B1" s="317"/>
      <c r="C1" s="317"/>
      <c r="D1" s="317"/>
      <c r="E1" s="317"/>
      <c r="F1" s="317"/>
      <c r="G1" s="317"/>
    </row>
    <row r="2" spans="1:7" x14ac:dyDescent="0.25">
      <c r="A2" s="316" t="s">
        <v>135</v>
      </c>
      <c r="B2" s="316"/>
      <c r="C2" s="316"/>
      <c r="D2" s="316"/>
      <c r="E2" s="316"/>
      <c r="F2" s="316"/>
      <c r="G2" s="3"/>
    </row>
    <row r="3" spans="1:7" x14ac:dyDescent="0.25">
      <c r="A3" s="94"/>
      <c r="B3" s="5">
        <f>'План. расчет времени'!F24</f>
        <v>1945.1189175075563</v>
      </c>
      <c r="C3" s="3" t="s">
        <v>136</v>
      </c>
      <c r="D3" s="3"/>
      <c r="E3" s="3"/>
      <c r="F3" s="3"/>
      <c r="G3" s="3"/>
    </row>
    <row r="4" spans="1:7" x14ac:dyDescent="0.25">
      <c r="A4" s="316" t="s">
        <v>137</v>
      </c>
      <c r="B4" s="316"/>
      <c r="C4" s="316"/>
      <c r="D4" s="316"/>
      <c r="E4" s="316"/>
      <c r="F4" s="316"/>
      <c r="G4" s="93"/>
    </row>
    <row r="5" spans="1:7" x14ac:dyDescent="0.25">
      <c r="A5" s="3"/>
      <c r="B5" s="3">
        <v>40</v>
      </c>
      <c r="C5" s="3" t="s">
        <v>136</v>
      </c>
      <c r="D5" s="3"/>
      <c r="E5" s="3"/>
      <c r="F5" s="3"/>
      <c r="G5" s="93"/>
    </row>
    <row r="6" spans="1:7" x14ac:dyDescent="0.25">
      <c r="A6" s="316" t="s">
        <v>173</v>
      </c>
      <c r="B6" s="316"/>
      <c r="C6" s="316"/>
      <c r="D6" s="316"/>
      <c r="E6" s="316"/>
      <c r="F6" s="316"/>
      <c r="G6" s="316"/>
    </row>
    <row r="7" spans="1:7" x14ac:dyDescent="0.25">
      <c r="A7" s="3"/>
      <c r="B7" s="3">
        <v>40</v>
      </c>
      <c r="C7" s="3" t="s">
        <v>136</v>
      </c>
      <c r="D7" s="94"/>
      <c r="E7" s="94"/>
      <c r="F7" s="3"/>
      <c r="G7" s="3"/>
    </row>
    <row r="8" spans="1:7" x14ac:dyDescent="0.25">
      <c r="A8" s="93"/>
      <c r="B8" s="93"/>
      <c r="C8" s="93"/>
      <c r="D8" s="3"/>
      <c r="E8" s="3"/>
      <c r="F8" s="3"/>
      <c r="G8" s="3"/>
    </row>
    <row r="9" spans="1:7" x14ac:dyDescent="0.25">
      <c r="A9" s="404" t="s">
        <v>141</v>
      </c>
      <c r="B9" s="404"/>
      <c r="C9" s="404"/>
      <c r="D9" s="158">
        <f>B3-B5-B7</f>
        <v>1865.1189175075563</v>
      </c>
      <c r="E9" s="159" t="s">
        <v>136</v>
      </c>
      <c r="F9" s="159"/>
      <c r="G9" s="9"/>
    </row>
    <row r="10" spans="1:7" x14ac:dyDescent="0.25">
      <c r="A10" s="93"/>
      <c r="B10" s="93"/>
      <c r="C10" s="93"/>
      <c r="D10" s="93"/>
      <c r="E10" s="93"/>
      <c r="F10" s="93"/>
      <c r="G10" s="93"/>
    </row>
    <row r="11" spans="1:7" x14ac:dyDescent="0.25">
      <c r="A11" s="316" t="s">
        <v>174</v>
      </c>
      <c r="B11" s="316"/>
      <c r="C11" s="3">
        <v>29974.92</v>
      </c>
      <c r="D11" s="3" t="s">
        <v>103</v>
      </c>
      <c r="E11" s="3"/>
      <c r="F11" s="93"/>
      <c r="G11" s="93"/>
    </row>
    <row r="12" spans="1:7" x14ac:dyDescent="0.25">
      <c r="A12" s="93"/>
      <c r="B12" s="93"/>
      <c r="C12" s="93"/>
      <c r="D12" s="93"/>
      <c r="E12" s="93"/>
      <c r="F12" s="93"/>
      <c r="G12" s="93"/>
    </row>
    <row r="13" spans="1:7" x14ac:dyDescent="0.25">
      <c r="A13" s="316" t="s">
        <v>175</v>
      </c>
      <c r="B13" s="316"/>
      <c r="C13" s="316"/>
      <c r="D13" s="316"/>
      <c r="E13" s="316"/>
      <c r="F13" s="3">
        <v>77999</v>
      </c>
      <c r="G13" s="3" t="s">
        <v>103</v>
      </c>
    </row>
    <row r="14" spans="1:7" x14ac:dyDescent="0.25">
      <c r="A14" s="93"/>
      <c r="B14" s="93"/>
      <c r="C14" s="3"/>
      <c r="D14" s="3"/>
      <c r="E14" s="3"/>
      <c r="F14" s="94"/>
      <c r="G14" s="94"/>
    </row>
    <row r="15" spans="1:7" ht="15.75" thickBot="1" x14ac:dyDescent="0.3">
      <c r="A15" s="375" t="s">
        <v>143</v>
      </c>
      <c r="B15" s="373" t="s">
        <v>144</v>
      </c>
      <c r="C15" s="373"/>
      <c r="D15" s="373"/>
      <c r="E15" s="3"/>
      <c r="F15" s="94"/>
      <c r="G15" s="94"/>
    </row>
    <row r="16" spans="1:7" x14ac:dyDescent="0.25">
      <c r="A16" s="375"/>
      <c r="B16" s="374" t="s">
        <v>145</v>
      </c>
      <c r="C16" s="374"/>
      <c r="D16" s="374"/>
      <c r="E16" s="3"/>
      <c r="F16" s="94"/>
      <c r="G16" s="94"/>
    </row>
    <row r="17" spans="1:7" x14ac:dyDescent="0.25">
      <c r="A17" s="99"/>
      <c r="B17" s="100"/>
      <c r="C17" s="100"/>
      <c r="D17" s="100"/>
      <c r="E17" s="3"/>
      <c r="F17" s="94"/>
      <c r="G17" s="94"/>
    </row>
    <row r="18" spans="1:7" ht="15.75" thickBot="1" x14ac:dyDescent="0.3">
      <c r="A18" s="372" t="s">
        <v>146</v>
      </c>
      <c r="B18" s="372"/>
      <c r="C18" s="373" t="s">
        <v>147</v>
      </c>
      <c r="D18" s="373"/>
      <c r="E18" s="373"/>
      <c r="F18" s="94"/>
      <c r="G18" s="94"/>
    </row>
    <row r="19" spans="1:7" x14ac:dyDescent="0.25">
      <c r="A19" s="372"/>
      <c r="B19" s="372"/>
      <c r="C19" s="374" t="s">
        <v>145</v>
      </c>
      <c r="D19" s="374"/>
      <c r="E19" s="374"/>
      <c r="F19" s="94"/>
      <c r="G19" s="94"/>
    </row>
    <row r="20" spans="1:7" x14ac:dyDescent="0.25">
      <c r="A20" s="9"/>
      <c r="B20" s="9"/>
      <c r="C20" s="101"/>
      <c r="D20" s="101"/>
      <c r="E20" s="101"/>
      <c r="F20" s="94"/>
      <c r="G20" s="94"/>
    </row>
    <row r="21" spans="1:7" x14ac:dyDescent="0.25">
      <c r="A21" s="9"/>
      <c r="B21" s="9"/>
      <c r="C21" s="101"/>
      <c r="D21" s="101"/>
      <c r="E21" s="320" t="s">
        <v>13</v>
      </c>
      <c r="F21" s="320"/>
      <c r="G21" s="94"/>
    </row>
    <row r="22" spans="1:7" x14ac:dyDescent="0.25">
      <c r="A22" s="321" t="s">
        <v>148</v>
      </c>
      <c r="B22" s="321"/>
      <c r="C22" s="321"/>
      <c r="D22" s="321"/>
      <c r="E22" s="321"/>
      <c r="F22" s="321"/>
      <c r="G22" s="94"/>
    </row>
    <row r="23" spans="1:7" x14ac:dyDescent="0.25">
      <c r="A23" s="377" t="s">
        <v>149</v>
      </c>
      <c r="B23" s="379" t="s">
        <v>16</v>
      </c>
      <c r="C23" s="380"/>
      <c r="D23" s="380"/>
      <c r="E23" s="381" t="s">
        <v>150</v>
      </c>
      <c r="F23" s="381"/>
      <c r="G23" s="102"/>
    </row>
    <row r="24" spans="1:7" ht="45" x14ac:dyDescent="0.25">
      <c r="A24" s="378"/>
      <c r="B24" s="103" t="s">
        <v>151</v>
      </c>
      <c r="C24" s="103" t="s">
        <v>152</v>
      </c>
      <c r="D24" s="104" t="s">
        <v>153</v>
      </c>
      <c r="E24" s="103" t="s">
        <v>154</v>
      </c>
      <c r="F24" s="103" t="s">
        <v>155</v>
      </c>
      <c r="G24" s="105"/>
    </row>
    <row r="25" spans="1:7" x14ac:dyDescent="0.25">
      <c r="A25" s="106" t="s">
        <v>176</v>
      </c>
      <c r="B25" s="107">
        <f>C11</f>
        <v>29974.92</v>
      </c>
      <c r="C25" s="108">
        <f>F13</f>
        <v>77999</v>
      </c>
      <c r="D25" s="109">
        <f>D9</f>
        <v>1865.1189175075563</v>
      </c>
      <c r="E25" s="108">
        <f>B25/D25</f>
        <v>16.071318412263416</v>
      </c>
      <c r="F25" s="107">
        <f>C25/D25</f>
        <v>41.819853558846333</v>
      </c>
      <c r="G25" s="12"/>
    </row>
    <row r="26" spans="1:7" x14ac:dyDescent="0.25">
      <c r="A26" s="94"/>
      <c r="B26" s="94"/>
      <c r="C26" s="94"/>
      <c r="D26" s="94"/>
      <c r="E26" s="94"/>
      <c r="F26" s="94"/>
      <c r="G26" s="94"/>
    </row>
    <row r="27" spans="1:7" x14ac:dyDescent="0.25">
      <c r="A27" s="94"/>
      <c r="B27" s="94"/>
      <c r="C27" s="94"/>
      <c r="D27" s="94"/>
      <c r="E27" s="94"/>
      <c r="F27" s="94"/>
      <c r="G27" s="94"/>
    </row>
    <row r="28" spans="1:7" x14ac:dyDescent="0.25">
      <c r="A28" s="94"/>
      <c r="B28" s="94"/>
      <c r="C28" s="94"/>
      <c r="D28" s="94"/>
      <c r="E28" s="94"/>
      <c r="F28" s="94"/>
      <c r="G28" s="94"/>
    </row>
    <row r="29" spans="1:7" x14ac:dyDescent="0.25">
      <c r="A29" s="94"/>
      <c r="B29" s="94"/>
      <c r="C29" s="94"/>
      <c r="D29" s="94"/>
      <c r="E29" s="94"/>
      <c r="F29" s="94"/>
      <c r="G29" s="94"/>
    </row>
    <row r="30" spans="1:7" ht="15.75" x14ac:dyDescent="0.25">
      <c r="A30" s="382" t="s">
        <v>56</v>
      </c>
      <c r="B30" s="382"/>
      <c r="C30" s="382"/>
      <c r="D30" s="31"/>
      <c r="E30" s="340" t="s">
        <v>58</v>
      </c>
      <c r="F30" s="340"/>
      <c r="G30" s="340"/>
    </row>
    <row r="31" spans="1:7" ht="15.75" x14ac:dyDescent="0.25">
      <c r="A31" s="376" t="s">
        <v>57</v>
      </c>
      <c r="B31" s="376"/>
      <c r="C31" s="376"/>
      <c r="D31" s="31"/>
      <c r="E31" s="31"/>
      <c r="F31" s="91"/>
      <c r="G31" s="31"/>
    </row>
  </sheetData>
  <mergeCells count="21">
    <mergeCell ref="A31:C31"/>
    <mergeCell ref="E21:F21"/>
    <mergeCell ref="A22:F22"/>
    <mergeCell ref="A23:A24"/>
    <mergeCell ref="B23:D23"/>
    <mergeCell ref="E23:F23"/>
    <mergeCell ref="A30:C30"/>
    <mergeCell ref="E30:G30"/>
    <mergeCell ref="A13:E13"/>
    <mergeCell ref="A15:A16"/>
    <mergeCell ref="B15:D15"/>
    <mergeCell ref="B16:D16"/>
    <mergeCell ref="A18:B19"/>
    <mergeCell ref="C18:E18"/>
    <mergeCell ref="C19:E19"/>
    <mergeCell ref="A11:B11"/>
    <mergeCell ref="A1:G1"/>
    <mergeCell ref="A2:F2"/>
    <mergeCell ref="A4:F4"/>
    <mergeCell ref="A6:G6"/>
    <mergeCell ref="A9:C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53"/>
  <sheetViews>
    <sheetView topLeftCell="A25" workbookViewId="0">
      <selection activeCell="F26" sqref="F26"/>
    </sheetView>
  </sheetViews>
  <sheetFormatPr defaultRowHeight="15" x14ac:dyDescent="0.25"/>
  <cols>
    <col min="1" max="1" width="4.42578125" customWidth="1"/>
    <col min="2" max="2" width="29.85546875" customWidth="1"/>
    <col min="3" max="3" width="7.7109375" customWidth="1"/>
    <col min="4" max="4" width="12.28515625" customWidth="1"/>
    <col min="5" max="5" width="10" customWidth="1"/>
    <col min="6" max="6" width="17.28515625" customWidth="1"/>
    <col min="7" max="7" width="12.7109375" customWidth="1"/>
  </cols>
  <sheetData>
    <row r="1" spans="1:7" ht="14.25" customHeight="1" x14ac:dyDescent="0.25">
      <c r="A1" s="113"/>
      <c r="B1" s="113"/>
      <c r="C1" s="161"/>
      <c r="D1" s="113"/>
      <c r="E1" s="113"/>
      <c r="F1" s="117"/>
      <c r="G1" s="115" t="s">
        <v>167</v>
      </c>
    </row>
    <row r="2" spans="1:7" ht="14.25" customHeight="1" x14ac:dyDescent="0.25">
      <c r="A2" s="113"/>
      <c r="B2" s="113"/>
      <c r="C2" s="161"/>
      <c r="D2" s="113"/>
      <c r="E2" s="113"/>
      <c r="F2" s="117"/>
      <c r="G2" s="115" t="s">
        <v>61</v>
      </c>
    </row>
    <row r="3" spans="1:7" ht="14.25" customHeight="1" x14ac:dyDescent="0.25">
      <c r="A3" s="113"/>
      <c r="B3" s="113"/>
      <c r="C3" s="161"/>
      <c r="D3" s="113"/>
      <c r="E3" s="113"/>
      <c r="F3" s="117"/>
      <c r="G3" s="115" t="s">
        <v>416</v>
      </c>
    </row>
    <row r="4" spans="1:7" ht="14.25" customHeight="1" x14ac:dyDescent="0.25">
      <c r="A4" s="113"/>
      <c r="B4" s="113"/>
      <c r="C4" s="161"/>
      <c r="D4" s="113"/>
      <c r="E4" s="113"/>
      <c r="F4" s="117"/>
      <c r="G4" s="115" t="s">
        <v>418</v>
      </c>
    </row>
    <row r="5" spans="1:7" ht="14.25" customHeight="1" x14ac:dyDescent="0.25">
      <c r="A5" s="113"/>
      <c r="B5" s="113"/>
      <c r="C5" s="161"/>
      <c r="D5" s="113"/>
      <c r="E5" s="113"/>
      <c r="F5" s="117"/>
      <c r="G5" s="113"/>
    </row>
    <row r="6" spans="1:7" ht="14.25" customHeight="1" x14ac:dyDescent="0.25">
      <c r="A6" s="394" t="s">
        <v>98</v>
      </c>
      <c r="B6" s="394"/>
      <c r="C6" s="394"/>
      <c r="D6" s="394"/>
      <c r="E6" s="394"/>
      <c r="F6" s="394"/>
      <c r="G6" s="394"/>
    </row>
    <row r="7" spans="1:7" ht="14.25" customHeight="1" x14ac:dyDescent="0.25">
      <c r="A7" s="394" t="s">
        <v>177</v>
      </c>
      <c r="B7" s="394"/>
      <c r="C7" s="394"/>
      <c r="D7" s="394"/>
      <c r="E7" s="394"/>
      <c r="F7" s="394"/>
      <c r="G7" s="394"/>
    </row>
    <row r="8" spans="1:7" ht="14.25" customHeight="1" x14ac:dyDescent="0.25">
      <c r="A8" s="350" t="s">
        <v>14</v>
      </c>
      <c r="B8" s="388" t="s">
        <v>100</v>
      </c>
      <c r="C8" s="389"/>
      <c r="D8" s="389"/>
      <c r="E8" s="390"/>
      <c r="F8" s="354" t="s">
        <v>101</v>
      </c>
      <c r="G8" s="354"/>
    </row>
    <row r="9" spans="1:7" ht="14.25" customHeight="1" x14ac:dyDescent="0.25">
      <c r="A9" s="351"/>
      <c r="B9" s="391"/>
      <c r="C9" s="392"/>
      <c r="D9" s="392"/>
      <c r="E9" s="393"/>
      <c r="F9" s="70" t="s">
        <v>102</v>
      </c>
      <c r="G9" s="97" t="s">
        <v>64</v>
      </c>
    </row>
    <row r="10" spans="1:7" ht="14.25" customHeight="1" x14ac:dyDescent="0.25">
      <c r="A10" s="118"/>
      <c r="B10" s="118" t="s">
        <v>158</v>
      </c>
      <c r="C10" s="124"/>
      <c r="D10" s="118"/>
      <c r="E10" s="118"/>
      <c r="F10" s="121">
        <v>62.85</v>
      </c>
      <c r="G10" s="122" t="s">
        <v>103</v>
      </c>
    </row>
    <row r="11" spans="1:7" ht="14.25" customHeight="1" x14ac:dyDescent="0.25">
      <c r="A11" s="118"/>
      <c r="B11" s="118"/>
      <c r="C11" s="124"/>
      <c r="D11" s="118"/>
      <c r="E11" s="118"/>
      <c r="F11" s="121"/>
      <c r="G11" s="122"/>
    </row>
    <row r="12" spans="1:7" ht="14.25" customHeight="1" x14ac:dyDescent="0.25">
      <c r="A12" s="118"/>
      <c r="B12" s="118" t="s">
        <v>104</v>
      </c>
      <c r="C12" s="124"/>
      <c r="D12" s="118"/>
      <c r="E12" s="147">
        <v>0.25</v>
      </c>
      <c r="F12" s="121">
        <f>F10*E12</f>
        <v>15.7125</v>
      </c>
      <c r="G12" s="122" t="s">
        <v>103</v>
      </c>
    </row>
    <row r="13" spans="1:7" ht="14.25" customHeight="1" x14ac:dyDescent="0.25">
      <c r="A13" s="118"/>
      <c r="B13" s="118"/>
      <c r="C13" s="124"/>
      <c r="D13" s="118"/>
      <c r="E13" s="147"/>
      <c r="F13" s="121"/>
      <c r="G13" s="122"/>
    </row>
    <row r="14" spans="1:7" ht="14.25" customHeight="1" x14ac:dyDescent="0.25">
      <c r="A14" s="118"/>
      <c r="B14" s="118" t="s">
        <v>105</v>
      </c>
      <c r="C14" s="124"/>
      <c r="D14" s="118"/>
      <c r="E14" s="147">
        <v>0.1</v>
      </c>
      <c r="F14" s="121">
        <f>F10*E14</f>
        <v>6.2850000000000001</v>
      </c>
      <c r="G14" s="122" t="s">
        <v>103</v>
      </c>
    </row>
    <row r="15" spans="1:7" ht="14.25" customHeight="1" x14ac:dyDescent="0.25">
      <c r="A15" s="118"/>
      <c r="B15" s="118"/>
      <c r="C15" s="124"/>
      <c r="D15" s="118"/>
      <c r="E15" s="147"/>
      <c r="F15" s="121"/>
      <c r="G15" s="122"/>
    </row>
    <row r="16" spans="1:7" ht="14.25" customHeight="1" x14ac:dyDescent="0.25">
      <c r="A16" s="118"/>
      <c r="B16" s="118"/>
      <c r="C16" s="124"/>
      <c r="D16" s="118"/>
      <c r="E16" s="147"/>
      <c r="F16" s="121"/>
      <c r="G16" s="122"/>
    </row>
    <row r="17" spans="1:7" ht="14.25" customHeight="1" x14ac:dyDescent="0.25">
      <c r="A17" s="118"/>
      <c r="B17" s="118" t="s">
        <v>106</v>
      </c>
      <c r="C17" s="124"/>
      <c r="D17" s="118"/>
      <c r="E17" s="147">
        <v>0.4</v>
      </c>
      <c r="F17" s="121">
        <f>F10*E17</f>
        <v>25.14</v>
      </c>
      <c r="G17" s="122" t="s">
        <v>103</v>
      </c>
    </row>
    <row r="18" spans="1:7" ht="14.25" customHeight="1" x14ac:dyDescent="0.25">
      <c r="A18" s="118"/>
      <c r="B18" s="118"/>
      <c r="C18" s="124"/>
      <c r="D18" s="118"/>
      <c r="E18" s="147"/>
      <c r="F18" s="121"/>
      <c r="G18" s="122"/>
    </row>
    <row r="19" spans="1:7" ht="14.25" customHeight="1" x14ac:dyDescent="0.25">
      <c r="A19" s="118"/>
      <c r="B19" s="118" t="s">
        <v>107</v>
      </c>
      <c r="C19" s="124"/>
      <c r="D19" s="118"/>
      <c r="E19" s="118"/>
      <c r="F19" s="121">
        <v>60</v>
      </c>
      <c r="G19" s="122" t="s">
        <v>108</v>
      </c>
    </row>
    <row r="20" spans="1:7" ht="14.25" customHeight="1" x14ac:dyDescent="0.25">
      <c r="A20" s="118"/>
      <c r="B20" s="118"/>
      <c r="C20" s="124"/>
      <c r="D20" s="118"/>
      <c r="E20" s="118"/>
      <c r="F20" s="121"/>
      <c r="G20" s="118"/>
    </row>
    <row r="21" spans="1:7" ht="14.25" customHeight="1" x14ac:dyDescent="0.25">
      <c r="A21" s="126">
        <v>1</v>
      </c>
      <c r="B21" s="127" t="s">
        <v>109</v>
      </c>
      <c r="C21" s="162"/>
      <c r="D21" s="127"/>
      <c r="E21" s="127"/>
      <c r="F21" s="130">
        <f>F10+F12+F14+F17</f>
        <v>109.9875</v>
      </c>
      <c r="G21" s="126" t="s">
        <v>103</v>
      </c>
    </row>
    <row r="22" spans="1:7" ht="14.25" customHeight="1" x14ac:dyDescent="0.25">
      <c r="A22" s="122"/>
      <c r="B22" s="118"/>
      <c r="C22" s="124"/>
      <c r="D22" s="118"/>
      <c r="E22" s="118"/>
      <c r="F22" s="121"/>
      <c r="G22" s="122"/>
    </row>
    <row r="23" spans="1:7" ht="14.25" customHeight="1" x14ac:dyDescent="0.25">
      <c r="A23" s="126">
        <v>2</v>
      </c>
      <c r="B23" s="127" t="s">
        <v>110</v>
      </c>
      <c r="C23" s="162"/>
      <c r="D23" s="127"/>
      <c r="E23" s="148">
        <v>0.30199999999999999</v>
      </c>
      <c r="F23" s="130">
        <f>E23*F21</f>
        <v>33.216225000000001</v>
      </c>
      <c r="G23" s="126" t="s">
        <v>103</v>
      </c>
    </row>
    <row r="24" spans="1:7" ht="14.25" customHeight="1" x14ac:dyDescent="0.25">
      <c r="A24" s="122"/>
      <c r="B24" s="118"/>
      <c r="C24" s="124"/>
      <c r="D24" s="118"/>
      <c r="E24" s="147"/>
      <c r="F24" s="121"/>
      <c r="G24" s="122"/>
    </row>
    <row r="25" spans="1:7" ht="14.25" customHeight="1" x14ac:dyDescent="0.25">
      <c r="A25" s="126">
        <v>3</v>
      </c>
      <c r="B25" s="127" t="s">
        <v>111</v>
      </c>
      <c r="C25" s="162"/>
      <c r="D25" s="127"/>
      <c r="E25" s="148"/>
      <c r="F25" s="130">
        <f>'Пробег Нива'!E25</f>
        <v>26.201210456625056</v>
      </c>
      <c r="G25" s="126" t="s">
        <v>103</v>
      </c>
    </row>
    <row r="26" spans="1:7" ht="14.25" customHeight="1" x14ac:dyDescent="0.25">
      <c r="A26" s="122"/>
      <c r="B26" s="118"/>
      <c r="C26" s="124"/>
      <c r="D26" s="118"/>
      <c r="E26" s="147"/>
      <c r="F26" s="121"/>
      <c r="G26" s="122"/>
    </row>
    <row r="27" spans="1:7" ht="14.25" customHeight="1" x14ac:dyDescent="0.25">
      <c r="A27" s="126">
        <v>4</v>
      </c>
      <c r="B27" s="127" t="s">
        <v>113</v>
      </c>
      <c r="C27" s="162"/>
      <c r="D27" s="127"/>
      <c r="E27" s="148"/>
      <c r="F27" s="130">
        <f>'Пробег Нива'!F25</f>
        <v>27.661846318512808</v>
      </c>
      <c r="G27" s="126" t="s">
        <v>103</v>
      </c>
    </row>
    <row r="28" spans="1:7" ht="14.25" customHeight="1" x14ac:dyDescent="0.25">
      <c r="A28" s="122"/>
      <c r="B28" s="118"/>
      <c r="C28" s="124"/>
      <c r="D28" s="118"/>
      <c r="E28" s="147"/>
      <c r="F28" s="121"/>
      <c r="G28" s="122"/>
    </row>
    <row r="29" spans="1:7" ht="14.25" customHeight="1" x14ac:dyDescent="0.25">
      <c r="A29" s="126">
        <v>5</v>
      </c>
      <c r="B29" s="127" t="s">
        <v>178</v>
      </c>
      <c r="C29" s="405" t="s">
        <v>179</v>
      </c>
      <c r="D29" s="406"/>
      <c r="E29" s="130"/>
      <c r="F29" s="133">
        <f>0.129*60</f>
        <v>7.74</v>
      </c>
      <c r="G29" s="122" t="s">
        <v>116</v>
      </c>
    </row>
    <row r="30" spans="1:7" ht="14.25" customHeight="1" x14ac:dyDescent="0.25">
      <c r="A30" s="122"/>
      <c r="B30" s="118"/>
      <c r="C30" s="163">
        <f>F29</f>
        <v>7.74</v>
      </c>
      <c r="D30" s="113"/>
      <c r="E30" s="117">
        <v>34.119999999999997</v>
      </c>
      <c r="F30" s="135">
        <f>F29*E30</f>
        <v>264.08879999999999</v>
      </c>
      <c r="G30" s="126" t="s">
        <v>103</v>
      </c>
    </row>
    <row r="31" spans="1:7" ht="14.25" customHeight="1" x14ac:dyDescent="0.25">
      <c r="A31" s="122"/>
      <c r="B31" s="118"/>
      <c r="C31" s="124"/>
      <c r="D31" s="118"/>
      <c r="E31" s="121"/>
      <c r="F31" s="121"/>
      <c r="G31" s="122"/>
    </row>
    <row r="32" spans="1:7" ht="14.25" customHeight="1" x14ac:dyDescent="0.25">
      <c r="A32" s="126">
        <v>6</v>
      </c>
      <c r="B32" s="127" t="s">
        <v>117</v>
      </c>
      <c r="C32" s="162"/>
      <c r="D32" s="127"/>
      <c r="E32" s="164"/>
      <c r="F32" s="130"/>
      <c r="G32" s="126"/>
    </row>
    <row r="33" spans="1:7" ht="14.25" customHeight="1" x14ac:dyDescent="0.25">
      <c r="A33" s="122"/>
      <c r="B33" s="118" t="s">
        <v>118</v>
      </c>
      <c r="C33" s="165">
        <v>1.7000000000000001E-2</v>
      </c>
      <c r="D33" s="166" t="s">
        <v>121</v>
      </c>
      <c r="E33" s="167">
        <v>142.52000000000001</v>
      </c>
      <c r="F33" s="121">
        <f>C33*$F$29*E33</f>
        <v>18.752781600000002</v>
      </c>
      <c r="G33" s="122" t="s">
        <v>103</v>
      </c>
    </row>
    <row r="34" spans="1:7" ht="14.25" customHeight="1" x14ac:dyDescent="0.25">
      <c r="A34" s="122"/>
      <c r="B34" s="118" t="s">
        <v>120</v>
      </c>
      <c r="C34" s="165">
        <v>1.5E-3</v>
      </c>
      <c r="D34" s="168" t="s">
        <v>121</v>
      </c>
      <c r="E34" s="167">
        <v>88.65</v>
      </c>
      <c r="F34" s="121">
        <f>C34*$F$29*E34</f>
        <v>1.0292265</v>
      </c>
      <c r="G34" s="122" t="s">
        <v>103</v>
      </c>
    </row>
    <row r="35" spans="1:7" ht="14.25" customHeight="1" x14ac:dyDescent="0.25">
      <c r="A35" s="122"/>
      <c r="B35" s="118" t="s">
        <v>122</v>
      </c>
      <c r="C35" s="165">
        <v>5.0000000000000001E-4</v>
      </c>
      <c r="D35" s="168" t="s">
        <v>121</v>
      </c>
      <c r="E35" s="167">
        <v>56.75</v>
      </c>
      <c r="F35" s="121">
        <f>C35*$F$29*E35</f>
        <v>0.2196225</v>
      </c>
      <c r="G35" s="122" t="s">
        <v>103</v>
      </c>
    </row>
    <row r="36" spans="1:7" ht="14.25" customHeight="1" x14ac:dyDescent="0.25">
      <c r="A36" s="122"/>
      <c r="B36" s="118" t="s">
        <v>123</v>
      </c>
      <c r="C36" s="169">
        <v>1E-3</v>
      </c>
      <c r="D36" s="170" t="s">
        <v>121</v>
      </c>
      <c r="E36" s="167">
        <v>100.17</v>
      </c>
      <c r="F36" s="121">
        <f>C36*$F$29*E36</f>
        <v>0.7753158</v>
      </c>
      <c r="G36" s="122" t="s">
        <v>103</v>
      </c>
    </row>
    <row r="37" spans="1:7" ht="14.25" customHeight="1" x14ac:dyDescent="0.25">
      <c r="A37" s="122"/>
      <c r="B37" s="118" t="s">
        <v>124</v>
      </c>
      <c r="C37" s="162"/>
      <c r="D37" s="171"/>
      <c r="E37" s="130"/>
      <c r="F37" s="130">
        <f>SUM(F33:F36)</f>
        <v>20.776946400000003</v>
      </c>
      <c r="G37" s="126" t="s">
        <v>103</v>
      </c>
    </row>
    <row r="38" spans="1:7" ht="14.25" customHeight="1" x14ac:dyDescent="0.25">
      <c r="A38" s="122"/>
      <c r="B38" s="118"/>
      <c r="C38" s="124"/>
      <c r="D38" s="118"/>
      <c r="E38" s="147"/>
      <c r="F38" s="121"/>
      <c r="G38" s="122"/>
    </row>
    <row r="39" spans="1:7" ht="14.25" customHeight="1" x14ac:dyDescent="0.25">
      <c r="A39" s="126">
        <v>7</v>
      </c>
      <c r="B39" s="127" t="s">
        <v>125</v>
      </c>
      <c r="C39" s="162"/>
      <c r="D39" s="127"/>
      <c r="E39" s="148">
        <v>0.62</v>
      </c>
      <c r="F39" s="130">
        <f>F21*E39</f>
        <v>68.192250000000001</v>
      </c>
      <c r="G39" s="126" t="s">
        <v>103</v>
      </c>
    </row>
    <row r="40" spans="1:7" ht="14.25" customHeight="1" x14ac:dyDescent="0.25">
      <c r="A40" s="122"/>
      <c r="B40" s="118"/>
      <c r="C40" s="124"/>
      <c r="D40" s="118"/>
      <c r="E40" s="147"/>
      <c r="F40" s="121"/>
      <c r="G40" s="122"/>
    </row>
    <row r="41" spans="1:7" ht="14.25" customHeight="1" x14ac:dyDescent="0.25">
      <c r="A41" s="126">
        <v>8</v>
      </c>
      <c r="B41" s="127" t="s">
        <v>126</v>
      </c>
      <c r="C41" s="162"/>
      <c r="D41" s="127"/>
      <c r="E41" s="148"/>
      <c r="F41" s="130">
        <f>F21+F23+F25+F27+F30+F37+F39</f>
        <v>550.12477817513786</v>
      </c>
      <c r="G41" s="126" t="s">
        <v>103</v>
      </c>
    </row>
    <row r="42" spans="1:7" ht="14.25" customHeight="1" x14ac:dyDescent="0.25">
      <c r="A42" s="126"/>
      <c r="B42" s="127"/>
      <c r="C42" s="162"/>
      <c r="D42" s="127"/>
      <c r="E42" s="148"/>
      <c r="F42" s="130"/>
      <c r="G42" s="126"/>
    </row>
    <row r="43" spans="1:7" ht="14.25" customHeight="1" x14ac:dyDescent="0.25">
      <c r="A43" s="126">
        <v>9</v>
      </c>
      <c r="B43" s="127" t="s">
        <v>127</v>
      </c>
      <c r="C43" s="162"/>
      <c r="D43" s="127"/>
      <c r="E43" s="148"/>
      <c r="F43" s="130"/>
      <c r="G43" s="126"/>
    </row>
    <row r="44" spans="1:7" ht="14.25" customHeight="1" x14ac:dyDescent="0.25">
      <c r="A44" s="122"/>
      <c r="B44" s="118" t="s">
        <v>128</v>
      </c>
      <c r="C44" s="124"/>
      <c r="D44" s="118"/>
      <c r="E44" s="147">
        <v>0.1</v>
      </c>
      <c r="F44" s="121">
        <f>F41*E44</f>
        <v>55.012477817513791</v>
      </c>
      <c r="G44" s="122" t="s">
        <v>103</v>
      </c>
    </row>
    <row r="45" spans="1:7" ht="14.25" customHeight="1" x14ac:dyDescent="0.25">
      <c r="A45" s="122"/>
      <c r="B45" s="118" t="s">
        <v>129</v>
      </c>
      <c r="C45" s="124"/>
      <c r="D45" s="118"/>
      <c r="E45" s="147">
        <v>0.15</v>
      </c>
      <c r="F45" s="121">
        <f>F41*E45</f>
        <v>82.518716726270682</v>
      </c>
      <c r="G45" s="122" t="s">
        <v>103</v>
      </c>
    </row>
    <row r="46" spans="1:7" ht="14.25" customHeight="1" x14ac:dyDescent="0.25">
      <c r="A46" s="122"/>
      <c r="B46" s="118"/>
      <c r="C46" s="124"/>
      <c r="D46" s="118"/>
      <c r="E46" s="147"/>
      <c r="F46" s="121"/>
      <c r="G46" s="122"/>
    </row>
    <row r="47" spans="1:7" ht="14.25" customHeight="1" x14ac:dyDescent="0.25">
      <c r="A47" s="126">
        <v>10</v>
      </c>
      <c r="B47" s="127" t="s">
        <v>130</v>
      </c>
      <c r="C47" s="162"/>
      <c r="D47" s="127"/>
      <c r="E47" s="148"/>
      <c r="F47" s="130"/>
      <c r="G47" s="126"/>
    </row>
    <row r="48" spans="1:7" ht="14.25" customHeight="1" x14ac:dyDescent="0.25">
      <c r="A48" s="122"/>
      <c r="B48" s="118" t="s">
        <v>128</v>
      </c>
      <c r="C48" s="124"/>
      <c r="D48" s="118"/>
      <c r="E48" s="147"/>
      <c r="F48" s="130">
        <f>F41+F44</f>
        <v>605.1372559926516</v>
      </c>
      <c r="G48" s="126" t="s">
        <v>103</v>
      </c>
    </row>
    <row r="49" spans="1:7" ht="14.25" customHeight="1" x14ac:dyDescent="0.25">
      <c r="A49" s="122"/>
      <c r="B49" s="118" t="s">
        <v>129</v>
      </c>
      <c r="C49" s="124"/>
      <c r="D49" s="118"/>
      <c r="E49" s="147"/>
      <c r="F49" s="130">
        <f>F41+F45</f>
        <v>632.64349490140853</v>
      </c>
      <c r="G49" s="126" t="s">
        <v>103</v>
      </c>
    </row>
    <row r="50" spans="1:7" ht="14.25" customHeight="1" x14ac:dyDescent="0.25">
      <c r="A50" s="113"/>
      <c r="B50" s="113"/>
      <c r="C50" s="161"/>
      <c r="D50" s="113"/>
      <c r="E50" s="113"/>
      <c r="F50" s="117"/>
      <c r="G50" s="172"/>
    </row>
    <row r="51" spans="1:7" ht="14.25" customHeight="1" x14ac:dyDescent="0.25">
      <c r="A51" s="113"/>
      <c r="B51" s="113"/>
      <c r="C51" s="161"/>
      <c r="D51" s="113"/>
      <c r="E51" s="113"/>
      <c r="F51" s="117"/>
      <c r="G51" s="113"/>
    </row>
    <row r="52" spans="1:7" ht="14.25" customHeight="1" x14ac:dyDescent="0.25">
      <c r="A52" s="31"/>
      <c r="B52" s="90" t="s">
        <v>56</v>
      </c>
      <c r="C52" s="90"/>
      <c r="D52" s="90"/>
      <c r="E52" s="31"/>
      <c r="F52" s="67" t="s">
        <v>58</v>
      </c>
      <c r="G52" s="31"/>
    </row>
    <row r="53" spans="1:7" ht="14.25" customHeight="1" x14ac:dyDescent="0.25">
      <c r="A53" s="31"/>
      <c r="B53" s="91" t="s">
        <v>57</v>
      </c>
      <c r="C53" s="90"/>
      <c r="D53" s="90"/>
      <c r="E53" s="31"/>
      <c r="F53" s="42"/>
      <c r="G53" s="31"/>
    </row>
  </sheetData>
  <mergeCells count="6">
    <mergeCell ref="C29:D29"/>
    <mergeCell ref="A6:G6"/>
    <mergeCell ref="A7:G7"/>
    <mergeCell ref="A8:A9"/>
    <mergeCell ref="B8:E9"/>
    <mergeCell ref="F8:G8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41</vt:i4>
      </vt:variant>
    </vt:vector>
  </HeadingPairs>
  <TitlesOfParts>
    <vt:vector size="41" baseType="lpstr">
      <vt:lpstr>План. расчет времени</vt:lpstr>
      <vt:lpstr>Тарифы</vt:lpstr>
      <vt:lpstr>ГАЗ 3307 фургон</vt:lpstr>
      <vt:lpstr>Пробег ГАЗ 3307 фургон</vt:lpstr>
      <vt:lpstr>ГАЗ 430100</vt:lpstr>
      <vt:lpstr>Пробег ГАЗ 430100</vt:lpstr>
      <vt:lpstr>УАЗ</vt:lpstr>
      <vt:lpstr>Пробег УАЗ</vt:lpstr>
      <vt:lpstr>Нива</vt:lpstr>
      <vt:lpstr>Пробег Нива</vt:lpstr>
      <vt:lpstr>МАЗ-5551</vt:lpstr>
      <vt:lpstr>Пробег МАЗ</vt:lpstr>
      <vt:lpstr>УРАЛ-5557</vt:lpstr>
      <vt:lpstr>Пробег Урал</vt:lpstr>
      <vt:lpstr>ГАЗ-3307 АСМ</vt:lpstr>
      <vt:lpstr>Пробег 3307 АСМ</vt:lpstr>
      <vt:lpstr>ГАЗ 3309</vt:lpstr>
      <vt:lpstr>Пробег 3309</vt:lpstr>
      <vt:lpstr>КО-502Б-2</vt:lpstr>
      <vt:lpstr>КО-502 +слесари</vt:lpstr>
      <vt:lpstr>Пробег КО-502Б-2</vt:lpstr>
      <vt:lpstr>Снегоуборочная</vt:lpstr>
      <vt:lpstr>Посыпка</vt:lpstr>
      <vt:lpstr>Расчистка снега</vt:lpstr>
      <vt:lpstr>Полив дневной </vt:lpstr>
      <vt:lpstr>Полив ночной</vt:lpstr>
      <vt:lpstr>Пробег КО-829</vt:lpstr>
      <vt:lpstr>Полив 1 бочка</vt:lpstr>
      <vt:lpstr>Плановый пробег</vt:lpstr>
      <vt:lpstr>ЭО 2626</vt:lpstr>
      <vt:lpstr>Пробег ЭО 2626</vt:lpstr>
      <vt:lpstr>МТЗ-80 с тележкой</vt:lpstr>
      <vt:lpstr>МТЗ-80 покос</vt:lpstr>
      <vt:lpstr>Пробег МТЗ-80</vt:lpstr>
      <vt:lpstr>Автогрейдер ДЗ-180</vt:lpstr>
      <vt:lpstr>Пробег ДЗ-180</vt:lpstr>
      <vt:lpstr>Т-25</vt:lpstr>
      <vt:lpstr>Пробег Т-25</vt:lpstr>
      <vt:lpstr>САГ</vt:lpstr>
      <vt:lpstr>Пробег САГ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</dc:creator>
  <cp:lastModifiedBy>user101</cp:lastModifiedBy>
  <cp:lastPrinted>2014-12-23T08:17:49Z</cp:lastPrinted>
  <dcterms:created xsi:type="dcterms:W3CDTF">2014-09-22T09:25:53Z</dcterms:created>
  <dcterms:modified xsi:type="dcterms:W3CDTF">2014-12-29T07:10:22Z</dcterms:modified>
</cp:coreProperties>
</file>