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155" windowWidth="14355" windowHeight="5955" tabRatio="601" activeTab="1"/>
  </bookViews>
  <sheets>
    <sheet name="План. расчет времени" sheetId="1" r:id="rId1"/>
    <sheet name="Тарифы" sheetId="2" r:id="rId2"/>
    <sheet name="ГАЗ 3307 фургон" sheetId="3" r:id="rId3"/>
    <sheet name="Пробег ГАЗ 3307 фургон" sheetId="4" r:id="rId4"/>
    <sheet name="ГАЗ 430100" sheetId="5" r:id="rId5"/>
    <sheet name="Пробег ГАЗ 430100" sheetId="6" r:id="rId6"/>
    <sheet name="УАЗ" sheetId="7" r:id="rId7"/>
    <sheet name="Пробег УАЗ" sheetId="8" r:id="rId8"/>
    <sheet name="Нива" sheetId="9" r:id="rId9"/>
    <sheet name="Пробег Нива" sheetId="10" r:id="rId10"/>
    <sheet name="МАЗ-5551" sheetId="11" r:id="rId11"/>
    <sheet name="Пробег МАЗ" sheetId="12" r:id="rId12"/>
    <sheet name="УРАЛ-5557" sheetId="13" r:id="rId13"/>
    <sheet name="Пробег Урал" sheetId="15" r:id="rId14"/>
    <sheet name="ГАЗ-3307 АСМ" sheetId="18" r:id="rId15"/>
    <sheet name="Пробег 3307 АСМ" sheetId="19" r:id="rId16"/>
    <sheet name="ГАЗ 3309" sheetId="20" r:id="rId17"/>
    <sheet name="Пробег 3309" sheetId="21" r:id="rId18"/>
    <sheet name="КО-502Б-2" sheetId="22" r:id="rId19"/>
    <sheet name="КО-502 +слесари" sheetId="23" r:id="rId20"/>
    <sheet name="Пробег КО-502Б-2" sheetId="24" r:id="rId21"/>
    <sheet name="Снегоуборочная" sheetId="25" r:id="rId22"/>
    <sheet name="Полив дневной " sheetId="28" r:id="rId23"/>
    <sheet name="Полив ночной" sheetId="29" r:id="rId24"/>
    <sheet name="Пробег КО-829" sheetId="30" r:id="rId25"/>
    <sheet name="Плановый пробег" sheetId="33" r:id="rId26"/>
    <sheet name="ЭО 2626" sheetId="36" r:id="rId27"/>
    <sheet name="Пробег ЭО 2626" sheetId="37" r:id="rId28"/>
    <sheet name="МТЗ-80 с тележкой" sheetId="38" r:id="rId29"/>
    <sheet name="МТЗ-80 покос" sheetId="39" r:id="rId30"/>
    <sheet name="Пробег МТЗ-80" sheetId="40" r:id="rId31"/>
    <sheet name="Автогрейдер ДЗ-180" sheetId="41" r:id="rId32"/>
    <sheet name="Пробег ДЗ-180" sheetId="42" r:id="rId33"/>
    <sheet name="Т-25" sheetId="43" r:id="rId34"/>
    <sheet name="Пробег Т-25" sheetId="44" r:id="rId35"/>
    <sheet name="САГ" sheetId="45" r:id="rId36"/>
    <sheet name="Пробег САГ" sheetId="46" r:id="rId37"/>
  </sheets>
  <externalReferences>
    <externalReference r:id="rId38"/>
  </externalReferences>
  <calcPr calcId="144525"/>
</workbook>
</file>

<file path=xl/calcChain.xml><?xml version="1.0" encoding="utf-8"?>
<calcChain xmlns="http://schemas.openxmlformats.org/spreadsheetml/2006/main">
  <c r="F10" i="46" l="1"/>
  <c r="H14" i="29"/>
  <c r="G47" i="30"/>
  <c r="H14" i="28"/>
  <c r="H11" i="25"/>
  <c r="F24" i="39"/>
  <c r="F29" i="39"/>
  <c r="F28" i="39"/>
  <c r="F27" i="39"/>
  <c r="F24" i="38"/>
  <c r="B3" i="40"/>
  <c r="Q23" i="25"/>
  <c r="I9" i="29" l="1"/>
  <c r="I27" i="29"/>
  <c r="I27" i="28"/>
  <c r="I24" i="28" l="1"/>
  <c r="I23" i="28"/>
  <c r="I22" i="28"/>
  <c r="I21" i="28"/>
  <c r="I14" i="28"/>
  <c r="B47" i="30"/>
  <c r="Q9" i="25"/>
  <c r="P9" i="25"/>
  <c r="O9" i="25"/>
  <c r="N9" i="25"/>
  <c r="M9" i="25"/>
  <c r="H12" i="28"/>
  <c r="K14" i="25"/>
  <c r="K20" i="25"/>
  <c r="P23" i="25"/>
  <c r="O23" i="25"/>
  <c r="N23" i="25"/>
  <c r="M23" i="25"/>
  <c r="Q24" i="25"/>
  <c r="P24" i="25"/>
  <c r="O24" i="25"/>
  <c r="N24" i="25"/>
  <c r="M24" i="25"/>
  <c r="E24" i="25"/>
  <c r="B3" i="24"/>
  <c r="D57" i="1" l="1"/>
  <c r="F30" i="1" l="1"/>
  <c r="B3" i="21"/>
  <c r="D9" i="21"/>
  <c r="F12" i="42" l="1"/>
  <c r="F13" i="40"/>
  <c r="F13" i="37"/>
  <c r="F27" i="33"/>
  <c r="H29" i="30"/>
  <c r="F13" i="24"/>
  <c r="F13" i="21"/>
  <c r="F12" i="19"/>
  <c r="F24" i="15"/>
  <c r="F12" i="12"/>
  <c r="F13" i="10"/>
  <c r="F13" i="8"/>
  <c r="F12" i="6"/>
  <c r="F12" i="4"/>
  <c r="M27" i="25"/>
  <c r="H14" i="25"/>
  <c r="F13" i="1" l="1"/>
  <c r="F11" i="1"/>
  <c r="G32" i="1" l="1"/>
  <c r="C22" i="1"/>
  <c r="E30" i="1" l="1"/>
  <c r="F29" i="43" l="1"/>
  <c r="F14" i="43"/>
  <c r="F12" i="43"/>
  <c r="F20" i="43" s="1"/>
  <c r="H9" i="25"/>
  <c r="I9" i="25"/>
  <c r="H12" i="29"/>
  <c r="H9" i="29"/>
  <c r="H10" i="29"/>
  <c r="H9" i="28"/>
  <c r="H10" i="25"/>
  <c r="I10" i="29"/>
  <c r="B18" i="33"/>
  <c r="E18" i="33"/>
  <c r="F38" i="39"/>
  <c r="F16" i="41"/>
  <c r="F12" i="41"/>
  <c r="L9" i="25"/>
  <c r="K9" i="25"/>
  <c r="J9" i="25"/>
  <c r="F28" i="23"/>
  <c r="F26" i="23"/>
  <c r="F24" i="23"/>
  <c r="F18" i="23"/>
  <c r="G63" i="1"/>
  <c r="C61" i="1" s="1"/>
  <c r="E61" i="1" s="1"/>
  <c r="F61" i="1" s="1"/>
  <c r="C62" i="1"/>
  <c r="E62" i="1" s="1"/>
  <c r="A7" i="15"/>
  <c r="E31" i="1"/>
  <c r="E29" i="1"/>
  <c r="E28" i="1"/>
  <c r="D32" i="1"/>
  <c r="C58" i="1"/>
  <c r="C60" i="1"/>
  <c r="E60" i="1" s="1"/>
  <c r="C31" i="1"/>
  <c r="C24" i="1"/>
  <c r="C23" i="1"/>
  <c r="C30" i="1"/>
  <c r="C29" i="1"/>
  <c r="C28" i="1"/>
  <c r="C27" i="1"/>
  <c r="C26" i="1"/>
  <c r="C25" i="1"/>
  <c r="C22" i="46"/>
  <c r="C8" i="46"/>
  <c r="D22" i="46"/>
  <c r="E22" i="46"/>
  <c r="F21" i="45"/>
  <c r="F20" i="45"/>
  <c r="F19" i="45"/>
  <c r="F18" i="45"/>
  <c r="F22" i="45"/>
  <c r="F15" i="45"/>
  <c r="C24" i="44"/>
  <c r="B3" i="44"/>
  <c r="D10" i="44"/>
  <c r="D24" i="44"/>
  <c r="E24" i="44"/>
  <c r="F35" i="43"/>
  <c r="H35" i="43"/>
  <c r="F34" i="43"/>
  <c r="H34" i="43"/>
  <c r="F33" i="43"/>
  <c r="H33" i="43"/>
  <c r="F32" i="43"/>
  <c r="F36" i="43"/>
  <c r="H28" i="43"/>
  <c r="H24" i="43"/>
  <c r="H18" i="43"/>
  <c r="F16" i="43"/>
  <c r="H16" i="43"/>
  <c r="H14" i="43"/>
  <c r="H10" i="43"/>
  <c r="C24" i="42"/>
  <c r="F35" i="41"/>
  <c r="F34" i="41"/>
  <c r="F33" i="41"/>
  <c r="F32" i="41"/>
  <c r="F36" i="41"/>
  <c r="F29" i="41"/>
  <c r="F14" i="41"/>
  <c r="F20" i="41"/>
  <c r="C25" i="40"/>
  <c r="B25" i="40"/>
  <c r="F40" i="39"/>
  <c r="F39" i="39"/>
  <c r="F37" i="39"/>
  <c r="F41" i="39"/>
  <c r="F34" i="39"/>
  <c r="F26" i="39"/>
  <c r="F16" i="39"/>
  <c r="F14" i="39"/>
  <c r="F12" i="39"/>
  <c r="F20" i="39"/>
  <c r="F35" i="38"/>
  <c r="F34" i="38"/>
  <c r="F33" i="38"/>
  <c r="F32" i="38"/>
  <c r="F36" i="38"/>
  <c r="F29" i="38"/>
  <c r="F16" i="38"/>
  <c r="F14" i="38"/>
  <c r="F12" i="38"/>
  <c r="F20" i="38"/>
  <c r="C25" i="37"/>
  <c r="B25" i="37"/>
  <c r="F35" i="36"/>
  <c r="F34" i="36"/>
  <c r="F33" i="36"/>
  <c r="F32" i="36"/>
  <c r="F36" i="36"/>
  <c r="F29" i="36"/>
  <c r="F16" i="36"/>
  <c r="F14" i="36"/>
  <c r="F12" i="36"/>
  <c r="F20" i="36"/>
  <c r="F26" i="33"/>
  <c r="F18" i="33"/>
  <c r="D18" i="33"/>
  <c r="H18" i="33"/>
  <c r="H28" i="30"/>
  <c r="D19" i="30"/>
  <c r="B19" i="30"/>
  <c r="I19" i="30"/>
  <c r="I24" i="29"/>
  <c r="H24" i="29"/>
  <c r="I23" i="29"/>
  <c r="H23" i="29"/>
  <c r="I22" i="29"/>
  <c r="H22" i="29"/>
  <c r="I21" i="29"/>
  <c r="I25" i="29"/>
  <c r="H21" i="29"/>
  <c r="H25" i="29"/>
  <c r="I19" i="29"/>
  <c r="H19" i="29"/>
  <c r="H24" i="28"/>
  <c r="H23" i="28"/>
  <c r="H22" i="28"/>
  <c r="I25" i="28"/>
  <c r="H21" i="28"/>
  <c r="H25" i="28"/>
  <c r="I19" i="28"/>
  <c r="H19" i="28"/>
  <c r="Q27" i="25"/>
  <c r="P25" i="25"/>
  <c r="O25" i="25"/>
  <c r="N25" i="25"/>
  <c r="M25" i="25"/>
  <c r="Q25" i="25"/>
  <c r="P21" i="25"/>
  <c r="P27" i="25"/>
  <c r="O21" i="25"/>
  <c r="O27" i="25"/>
  <c r="N21" i="25"/>
  <c r="N27" i="25"/>
  <c r="M21" i="25"/>
  <c r="Q19" i="25"/>
  <c r="P19" i="25"/>
  <c r="O19" i="25"/>
  <c r="N19" i="25"/>
  <c r="M19" i="25"/>
  <c r="L19" i="25"/>
  <c r="K19" i="25"/>
  <c r="J19" i="25"/>
  <c r="I19" i="25"/>
  <c r="H19" i="25"/>
  <c r="Q18" i="25"/>
  <c r="P18" i="25"/>
  <c r="O18" i="25"/>
  <c r="N18" i="25"/>
  <c r="M18" i="25"/>
  <c r="L18" i="25"/>
  <c r="K18" i="25"/>
  <c r="J18" i="25"/>
  <c r="I18" i="25"/>
  <c r="H18" i="25"/>
  <c r="Q17" i="25"/>
  <c r="P17" i="25"/>
  <c r="O17" i="25"/>
  <c r="N17" i="25"/>
  <c r="M17" i="25"/>
  <c r="L17" i="25"/>
  <c r="K17" i="25"/>
  <c r="J17" i="25"/>
  <c r="I17" i="25"/>
  <c r="H17" i="25"/>
  <c r="Q16" i="25"/>
  <c r="Q20" i="25"/>
  <c r="P16" i="25"/>
  <c r="P20" i="25"/>
  <c r="O16" i="25"/>
  <c r="O20" i="25"/>
  <c r="N16" i="25"/>
  <c r="N20" i="25"/>
  <c r="M16" i="25"/>
  <c r="M20" i="25"/>
  <c r="L16" i="25"/>
  <c r="L20" i="25"/>
  <c r="K16" i="25"/>
  <c r="J16" i="25"/>
  <c r="J20" i="25"/>
  <c r="I16" i="25"/>
  <c r="I20" i="25"/>
  <c r="H16" i="25"/>
  <c r="H20" i="25"/>
  <c r="Q14" i="25"/>
  <c r="P14" i="25"/>
  <c r="O14" i="25"/>
  <c r="N14" i="25"/>
  <c r="M14" i="25"/>
  <c r="L14" i="25"/>
  <c r="J14" i="25"/>
  <c r="I14" i="25"/>
  <c r="C25" i="24"/>
  <c r="B25" i="24"/>
  <c r="F42" i="23"/>
  <c r="F41" i="23"/>
  <c r="C43" i="23"/>
  <c r="G24" i="23"/>
  <c r="F16" i="23"/>
  <c r="G14" i="23"/>
  <c r="F14" i="23"/>
  <c r="F12" i="23"/>
  <c r="F32" i="22"/>
  <c r="F31" i="22"/>
  <c r="C33" i="22"/>
  <c r="F18" i="22"/>
  <c r="F16" i="22"/>
  <c r="G14" i="22"/>
  <c r="F14" i="22"/>
  <c r="F12" i="22"/>
  <c r="C25" i="21"/>
  <c r="B25" i="21"/>
  <c r="F32" i="20"/>
  <c r="F31" i="20"/>
  <c r="C33" i="20"/>
  <c r="F33" i="20"/>
  <c r="F18" i="20"/>
  <c r="F16" i="20"/>
  <c r="G14" i="20"/>
  <c r="F14" i="20"/>
  <c r="F12" i="20"/>
  <c r="F22" i="20"/>
  <c r="C24" i="19"/>
  <c r="G14" i="18"/>
  <c r="A18" i="15"/>
  <c r="A16" i="15"/>
  <c r="I14" i="13"/>
  <c r="C24" i="12"/>
  <c r="C31" i="11"/>
  <c r="G14" i="11"/>
  <c r="C25" i="10"/>
  <c r="B25" i="10"/>
  <c r="C25" i="8"/>
  <c r="B25" i="8"/>
  <c r="C24" i="6"/>
  <c r="C24" i="4"/>
  <c r="F32" i="23"/>
  <c r="C32" i="1"/>
  <c r="F22" i="22"/>
  <c r="F22" i="46"/>
  <c r="F12" i="45" s="1"/>
  <c r="F25" i="45" s="1"/>
  <c r="F24" i="44"/>
  <c r="H12" i="43"/>
  <c r="H32" i="43"/>
  <c r="H36" i="43"/>
  <c r="F38" i="41"/>
  <c r="F22" i="41"/>
  <c r="F43" i="39"/>
  <c r="F22" i="39"/>
  <c r="F38" i="38"/>
  <c r="F22" i="38"/>
  <c r="F38" i="36"/>
  <c r="F22" i="36"/>
  <c r="I12" i="29"/>
  <c r="H27" i="29"/>
  <c r="I12" i="28"/>
  <c r="H27" i="28"/>
  <c r="H29" i="25"/>
  <c r="I29" i="25"/>
  <c r="J29" i="25"/>
  <c r="K29" i="25"/>
  <c r="L29" i="25"/>
  <c r="M29" i="25"/>
  <c r="N29" i="25"/>
  <c r="O29" i="25"/>
  <c r="P29" i="25"/>
  <c r="Q29" i="25"/>
  <c r="I10" i="25"/>
  <c r="J10" i="25"/>
  <c r="K10" i="25"/>
  <c r="L10" i="25"/>
  <c r="M10" i="25"/>
  <c r="N10" i="25"/>
  <c r="O10" i="25"/>
  <c r="P10" i="25"/>
  <c r="Q10" i="25"/>
  <c r="F52" i="23"/>
  <c r="F34" i="23"/>
  <c r="F49" i="23"/>
  <c r="F48" i="23"/>
  <c r="F47" i="23"/>
  <c r="F46" i="23"/>
  <c r="F50" i="23"/>
  <c r="F43" i="23"/>
  <c r="F42" i="22"/>
  <c r="F24" i="22"/>
  <c r="F39" i="22"/>
  <c r="F38" i="22"/>
  <c r="F37" i="22"/>
  <c r="F36" i="22"/>
  <c r="F40" i="22"/>
  <c r="F33" i="22"/>
  <c r="F42" i="20"/>
  <c r="F24" i="20"/>
  <c r="F39" i="20"/>
  <c r="F38" i="20"/>
  <c r="F37" i="20"/>
  <c r="F36" i="20"/>
  <c r="F40" i="20"/>
  <c r="F6" i="1"/>
  <c r="F8" i="1"/>
  <c r="C73" i="1"/>
  <c r="C50" i="1"/>
  <c r="E27" i="1"/>
  <c r="E32" i="1"/>
  <c r="F22" i="1" s="1"/>
  <c r="F62" i="1"/>
  <c r="F24" i="1"/>
  <c r="B3" i="8"/>
  <c r="D9" i="8"/>
  <c r="D25" i="8"/>
  <c r="F25" i="1"/>
  <c r="B3" i="10"/>
  <c r="D9" i="10"/>
  <c r="D25" i="10"/>
  <c r="F25" i="10" s="1"/>
  <c r="F26" i="1"/>
  <c r="B3" i="12"/>
  <c r="D10" i="12"/>
  <c r="D24" i="12"/>
  <c r="E24" i="12" s="1"/>
  <c r="F27" i="1"/>
  <c r="F28" i="1"/>
  <c r="B3" i="19"/>
  <c r="D10" i="19"/>
  <c r="D24" i="19"/>
  <c r="F29" i="1"/>
  <c r="D25" i="21"/>
  <c r="D9" i="24"/>
  <c r="D25" i="24"/>
  <c r="E25" i="24" s="1"/>
  <c r="F31" i="1"/>
  <c r="B8" i="33" s="1"/>
  <c r="D13" i="33" s="1"/>
  <c r="C11" i="1"/>
  <c r="C13" i="1"/>
  <c r="F58" i="1"/>
  <c r="F60" i="1"/>
  <c r="D70" i="1" s="1"/>
  <c r="B7" i="30"/>
  <c r="D12" i="30"/>
  <c r="E25" i="21"/>
  <c r="F26" i="20"/>
  <c r="F25" i="21"/>
  <c r="F28" i="20" s="1"/>
  <c r="E24" i="19"/>
  <c r="F24" i="19"/>
  <c r="F24" i="12"/>
  <c r="E25" i="8"/>
  <c r="F25" i="8"/>
  <c r="D71" i="1"/>
  <c r="E71" i="1"/>
  <c r="B3" i="42"/>
  <c r="D10" i="42" s="1"/>
  <c r="D24" i="42"/>
  <c r="E24" i="42" s="1"/>
  <c r="F24" i="41" s="1"/>
  <c r="E70" i="1"/>
  <c r="D9" i="40"/>
  <c r="D25" i="40"/>
  <c r="F44" i="20"/>
  <c r="H20" i="30"/>
  <c r="G20" i="30"/>
  <c r="F20" i="30"/>
  <c r="E20" i="30"/>
  <c r="D20" i="30"/>
  <c r="C20" i="30"/>
  <c r="B20" i="30"/>
  <c r="E25" i="40"/>
  <c r="F25" i="40"/>
  <c r="F24" i="42"/>
  <c r="F26" i="41" s="1"/>
  <c r="F40" i="41" s="1"/>
  <c r="B3" i="4"/>
  <c r="D10" i="4"/>
  <c r="D24" i="4"/>
  <c r="F24" i="4"/>
  <c r="F48" i="20"/>
  <c r="F51" i="20"/>
  <c r="E18" i="2"/>
  <c r="F47" i="20"/>
  <c r="B22" i="30"/>
  <c r="I20" i="30"/>
  <c r="B24" i="30"/>
  <c r="C24" i="30"/>
  <c r="C22" i="30"/>
  <c r="D42" i="30"/>
  <c r="D24" i="30"/>
  <c r="D22" i="30"/>
  <c r="D43" i="30"/>
  <c r="E24" i="30"/>
  <c r="E22" i="30"/>
  <c r="D44" i="30"/>
  <c r="F24" i="30"/>
  <c r="F22" i="30"/>
  <c r="D45" i="30"/>
  <c r="G24" i="30"/>
  <c r="G23" i="30"/>
  <c r="E47" i="30"/>
  <c r="H24" i="30"/>
  <c r="H22" i="30"/>
  <c r="D46" i="30" s="1"/>
  <c r="E24" i="4"/>
  <c r="D49" i="1"/>
  <c r="E49" i="1"/>
  <c r="D45" i="1"/>
  <c r="E45" i="1"/>
  <c r="D47" i="1"/>
  <c r="E47" i="1"/>
  <c r="D48" i="1"/>
  <c r="E48" i="1"/>
  <c r="D46" i="1"/>
  <c r="E46" i="1"/>
  <c r="D44" i="1"/>
  <c r="E44" i="1"/>
  <c r="C46" i="30"/>
  <c r="H46" i="30" s="1"/>
  <c r="B46" i="30"/>
  <c r="F46" i="30" s="1"/>
  <c r="C47" i="30"/>
  <c r="I47" i="30" s="1"/>
  <c r="I16" i="28" s="1"/>
  <c r="I29" i="28" s="1"/>
  <c r="I14" i="29"/>
  <c r="C45" i="30"/>
  <c r="H45" i="30"/>
  <c r="B45" i="30"/>
  <c r="F45" i="30"/>
  <c r="C44" i="30"/>
  <c r="H44" i="30"/>
  <c r="B44" i="30"/>
  <c r="F44" i="30"/>
  <c r="J11" i="25" s="1"/>
  <c r="C43" i="30"/>
  <c r="H43" i="30"/>
  <c r="M12" i="25" s="1"/>
  <c r="B43" i="30"/>
  <c r="F43" i="30"/>
  <c r="M11" i="25" s="1"/>
  <c r="C42" i="30"/>
  <c r="H42" i="30"/>
  <c r="H16" i="29" s="1"/>
  <c r="B42" i="30"/>
  <c r="F42" i="30"/>
  <c r="K11" i="25" s="1"/>
  <c r="C41" i="30"/>
  <c r="I24" i="30"/>
  <c r="B41" i="30"/>
  <c r="D41" i="30"/>
  <c r="I22" i="30"/>
  <c r="B48" i="30"/>
  <c r="F41" i="30"/>
  <c r="I11" i="25" s="1"/>
  <c r="C48" i="30"/>
  <c r="H41" i="30"/>
  <c r="P11" i="25"/>
  <c r="N11" i="25"/>
  <c r="O11" i="25"/>
  <c r="Q11" i="25"/>
  <c r="H26" i="43"/>
  <c r="F29" i="45" l="1"/>
  <c r="F33" i="45"/>
  <c r="E40" i="2" s="1"/>
  <c r="F28" i="45"/>
  <c r="F32" i="45"/>
  <c r="D40" i="2" s="1"/>
  <c r="G40" i="2" s="1"/>
  <c r="F31" i="39"/>
  <c r="F45" i="39" s="1"/>
  <c r="F26" i="38"/>
  <c r="F40" i="38" s="1"/>
  <c r="F25" i="24"/>
  <c r="H29" i="29"/>
  <c r="I33" i="28"/>
  <c r="I35" i="28"/>
  <c r="E34" i="2" s="1"/>
  <c r="I32" i="28"/>
  <c r="I34" i="28"/>
  <c r="D34" i="2" s="1"/>
  <c r="G34" i="2" s="1"/>
  <c r="I12" i="25"/>
  <c r="I30" i="25" s="1"/>
  <c r="H12" i="25"/>
  <c r="H30" i="25" s="1"/>
  <c r="K12" i="25"/>
  <c r="K30" i="25" s="1"/>
  <c r="H16" i="28"/>
  <c r="H29" i="28" s="1"/>
  <c r="F38" i="23"/>
  <c r="F28" i="22"/>
  <c r="F36" i="23"/>
  <c r="F26" i="22"/>
  <c r="F54" i="23"/>
  <c r="F44" i="22"/>
  <c r="F50" i="20"/>
  <c r="D18" i="2" s="1"/>
  <c r="G18" i="2" s="1"/>
  <c r="E17" i="2"/>
  <c r="D17" i="2"/>
  <c r="G17" i="2" s="1"/>
  <c r="E13" i="2"/>
  <c r="D13" i="2"/>
  <c r="G13" i="2" s="1"/>
  <c r="E9" i="2"/>
  <c r="D9" i="2"/>
  <c r="G9" i="2" s="1"/>
  <c r="C59" i="1"/>
  <c r="E59" i="1" s="1"/>
  <c r="C57" i="1"/>
  <c r="E57" i="1" s="1"/>
  <c r="E63" i="1" s="1"/>
  <c r="F44" i="41"/>
  <c r="F48" i="41"/>
  <c r="E41" i="2" s="1"/>
  <c r="F43" i="41"/>
  <c r="F47" i="41"/>
  <c r="D41" i="2" s="1"/>
  <c r="G41" i="2" s="1"/>
  <c r="F23" i="1"/>
  <c r="F32" i="1" s="1"/>
  <c r="D48" i="30"/>
  <c r="P12" i="25"/>
  <c r="O12" i="25"/>
  <c r="N12" i="25"/>
  <c r="B19" i="33"/>
  <c r="G19" i="33"/>
  <c r="G21" i="33" s="1"/>
  <c r="F19" i="33"/>
  <c r="F21" i="33" s="1"/>
  <c r="E19" i="33"/>
  <c r="E21" i="33" s="1"/>
  <c r="D19" i="33"/>
  <c r="D21" i="33" s="1"/>
  <c r="C19" i="33"/>
  <c r="C21" i="33" s="1"/>
  <c r="J12" i="25"/>
  <c r="J30" i="25" s="1"/>
  <c r="L12" i="25"/>
  <c r="L11" i="25"/>
  <c r="L30" i="25" s="1"/>
  <c r="I16" i="29"/>
  <c r="I29" i="29" s="1"/>
  <c r="E25" i="10"/>
  <c r="F38" i="43"/>
  <c r="H38" i="43" s="1"/>
  <c r="F22" i="43"/>
  <c r="H22" i="43" s="1"/>
  <c r="H20" i="43"/>
  <c r="H40" i="43" s="1"/>
  <c r="F40" i="43"/>
  <c r="D50" i="25" l="1"/>
  <c r="J50" i="25" s="1"/>
  <c r="F44" i="38"/>
  <c r="F48" i="38"/>
  <c r="E37" i="2" s="1"/>
  <c r="F43" i="38"/>
  <c r="F47" i="38"/>
  <c r="D37" i="2" s="1"/>
  <c r="G37" i="2" s="1"/>
  <c r="F49" i="39"/>
  <c r="F53" i="39"/>
  <c r="E38" i="2" s="1"/>
  <c r="F48" i="39"/>
  <c r="F52" i="39"/>
  <c r="D38" i="2" s="1"/>
  <c r="G38" i="2" s="1"/>
  <c r="H33" i="29"/>
  <c r="H35" i="29"/>
  <c r="E35" i="2" s="1"/>
  <c r="H32" i="29"/>
  <c r="H34" i="29" s="1"/>
  <c r="D35" i="2" s="1"/>
  <c r="G35" i="2" s="1"/>
  <c r="H33" i="28"/>
  <c r="H35" i="28"/>
  <c r="E33" i="2" s="1"/>
  <c r="H32" i="28"/>
  <c r="H34" i="28"/>
  <c r="D33" i="2" s="1"/>
  <c r="K33" i="25"/>
  <c r="K37" i="25"/>
  <c r="E25" i="2" s="1"/>
  <c r="K32" i="25"/>
  <c r="K36" i="25"/>
  <c r="D25" i="2" s="1"/>
  <c r="G25" i="2" s="1"/>
  <c r="H33" i="25"/>
  <c r="H37" i="25"/>
  <c r="E22" i="2" s="1"/>
  <c r="H32" i="25"/>
  <c r="H36" i="25"/>
  <c r="D22" i="2" s="1"/>
  <c r="G22" i="2" s="1"/>
  <c r="I33" i="25"/>
  <c r="I37" i="25"/>
  <c r="E23" i="2" s="1"/>
  <c r="I32" i="25"/>
  <c r="I36" i="25"/>
  <c r="D23" i="2" s="1"/>
  <c r="G23" i="2" s="1"/>
  <c r="F57" i="1"/>
  <c r="F59" i="1"/>
  <c r="F48" i="22"/>
  <c r="F52" i="22"/>
  <c r="E20" i="2" s="1"/>
  <c r="F47" i="22"/>
  <c r="F51" i="22" s="1"/>
  <c r="F58" i="23"/>
  <c r="F62" i="23"/>
  <c r="E19" i="2" s="1"/>
  <c r="F57" i="23"/>
  <c r="F61" i="23"/>
  <c r="D19" i="2" s="1"/>
  <c r="G19" i="2" s="1"/>
  <c r="C63" i="1"/>
  <c r="D43" i="1"/>
  <c r="B3" i="6"/>
  <c r="D10" i="6" s="1"/>
  <c r="D24" i="6" s="1"/>
  <c r="I33" i="29"/>
  <c r="I35" i="29"/>
  <c r="E36" i="2" s="1"/>
  <c r="I32" i="29"/>
  <c r="I34" i="29"/>
  <c r="D36" i="2" s="1"/>
  <c r="G36" i="2" s="1"/>
  <c r="L33" i="25"/>
  <c r="L37" i="25"/>
  <c r="E26" i="2" s="1"/>
  <c r="L32" i="25"/>
  <c r="L36" i="25"/>
  <c r="D26" i="2" s="1"/>
  <c r="J33" i="25"/>
  <c r="J37" i="25"/>
  <c r="E24" i="2" s="1"/>
  <c r="J32" i="25"/>
  <c r="J36" i="25"/>
  <c r="D24" i="2" s="1"/>
  <c r="D40" i="33"/>
  <c r="D41" i="33"/>
  <c r="D42" i="33"/>
  <c r="D43" i="33"/>
  <c r="D44" i="33"/>
  <c r="B21" i="33"/>
  <c r="H19" i="33"/>
  <c r="Q12" i="25"/>
  <c r="E12" i="2"/>
  <c r="D12" i="2"/>
  <c r="G12" i="2" s="1"/>
  <c r="E11" i="2"/>
  <c r="D11" i="2"/>
  <c r="G11" i="2" s="1"/>
  <c r="F44" i="43"/>
  <c r="F48" i="43"/>
  <c r="F43" i="43"/>
  <c r="F47" i="43"/>
  <c r="H44" i="43"/>
  <c r="H48" i="43"/>
  <c r="H43" i="43"/>
  <c r="H47" i="43"/>
  <c r="E28" i="25" l="1"/>
  <c r="F63" i="1"/>
  <c r="B3" i="37"/>
  <c r="D9" i="37" s="1"/>
  <c r="D25" i="37" s="1"/>
  <c r="D69" i="1"/>
  <c r="E69" i="1" s="1"/>
  <c r="D20" i="2"/>
  <c r="G20" i="2" s="1"/>
  <c r="A5" i="15"/>
  <c r="E24" i="6"/>
  <c r="F24" i="6"/>
  <c r="E43" i="1"/>
  <c r="D50" i="1"/>
  <c r="D39" i="33"/>
  <c r="D45" i="33" s="1"/>
  <c r="H21" i="33"/>
  <c r="B22" i="33"/>
  <c r="Q28" i="25" l="1"/>
  <c r="Q30" i="25" s="1"/>
  <c r="M28" i="25"/>
  <c r="M30" i="25" s="1"/>
  <c r="N28" i="25"/>
  <c r="N30" i="25" s="1"/>
  <c r="O28" i="25"/>
  <c r="O30" i="25" s="1"/>
  <c r="P28" i="25"/>
  <c r="P30" i="25" s="1"/>
  <c r="E25" i="37"/>
  <c r="F24" i="36" s="1"/>
  <c r="F25" i="37"/>
  <c r="F26" i="36" s="1"/>
  <c r="F40" i="36" s="1"/>
  <c r="E10" i="2"/>
  <c r="D10" i="2"/>
  <c r="G10" i="2" s="1"/>
  <c r="A3" i="15"/>
  <c r="D7" i="15" s="1"/>
  <c r="D72" i="1"/>
  <c r="B39" i="33"/>
  <c r="C39" i="33"/>
  <c r="H22" i="33"/>
  <c r="C22" i="33"/>
  <c r="D22" i="33"/>
  <c r="E22" i="33"/>
  <c r="F22" i="33"/>
  <c r="G22" i="33"/>
  <c r="P33" i="25" l="1"/>
  <c r="P37" i="25"/>
  <c r="E31" i="2" s="1"/>
  <c r="P32" i="25"/>
  <c r="P36" i="25"/>
  <c r="D31" i="2" s="1"/>
  <c r="G31" i="2" s="1"/>
  <c r="O33" i="25"/>
  <c r="O37" i="25"/>
  <c r="E30" i="2" s="1"/>
  <c r="O32" i="25"/>
  <c r="O36" i="25"/>
  <c r="D30" i="2" s="1"/>
  <c r="G30" i="2" s="1"/>
  <c r="N33" i="25"/>
  <c r="N37" i="25"/>
  <c r="E29" i="2" s="1"/>
  <c r="N32" i="25"/>
  <c r="N36" i="25"/>
  <c r="D29" i="2" s="1"/>
  <c r="G29" i="2" s="1"/>
  <c r="M33" i="25"/>
  <c r="M37" i="25"/>
  <c r="E28" i="2" s="1"/>
  <c r="M32" i="25"/>
  <c r="M36" i="25" s="1"/>
  <c r="D28" i="2" s="1"/>
  <c r="G28" i="2" s="1"/>
  <c r="Q33" i="25"/>
  <c r="Q37" i="25"/>
  <c r="E32" i="2" s="1"/>
  <c r="Q32" i="25"/>
  <c r="Q36" i="25"/>
  <c r="D32" i="2" s="1"/>
  <c r="G32" i="2" s="1"/>
  <c r="F44" i="36"/>
  <c r="F48" i="36"/>
  <c r="E39" i="2" s="1"/>
  <c r="F43" i="36"/>
  <c r="F47" i="36"/>
  <c r="D39" i="2" s="1"/>
  <c r="G39" i="2" s="1"/>
  <c r="C18" i="15"/>
  <c r="C36" i="15"/>
  <c r="E72" i="1"/>
  <c r="D73" i="1"/>
  <c r="E22" i="15"/>
  <c r="D36" i="15" s="1"/>
  <c r="D5" i="15"/>
  <c r="C16" i="15" s="1"/>
  <c r="E20" i="15" s="1"/>
  <c r="C44" i="33"/>
  <c r="F44" i="33" s="1"/>
  <c r="B44" i="33"/>
  <c r="E44" i="33" s="1"/>
  <c r="C43" i="33"/>
  <c r="F43" i="33" s="1"/>
  <c r="B43" i="33"/>
  <c r="E43" i="33" s="1"/>
  <c r="C42" i="33"/>
  <c r="F42" i="33" s="1"/>
  <c r="B42" i="33"/>
  <c r="E42" i="33" s="1"/>
  <c r="C41" i="33"/>
  <c r="F41" i="33" s="1"/>
  <c r="B41" i="33"/>
  <c r="E41" i="33" s="1"/>
  <c r="C40" i="33"/>
  <c r="F40" i="33" s="1"/>
  <c r="B40" i="33"/>
  <c r="E40" i="33" s="1"/>
  <c r="F39" i="33"/>
  <c r="C45" i="33"/>
  <c r="F45" i="33" s="1"/>
  <c r="B45" i="33"/>
  <c r="E45" i="33" s="1"/>
  <c r="E39" i="33"/>
  <c r="F36" i="15" l="1"/>
  <c r="C37" i="15"/>
  <c r="D37" i="15"/>
  <c r="E37" i="15" s="1"/>
  <c r="D38" i="15"/>
  <c r="E36" i="15"/>
  <c r="C38" i="15"/>
  <c r="F37" i="15" l="1"/>
  <c r="F38" i="15" s="1"/>
  <c r="E16" i="2" l="1"/>
  <c r="D16" i="2"/>
  <c r="G16" i="2" s="1"/>
  <c r="E15" i="2"/>
  <c r="D15" i="2"/>
  <c r="G15" i="2" s="1"/>
</calcChain>
</file>

<file path=xl/sharedStrings.xml><?xml version="1.0" encoding="utf-8"?>
<sst xmlns="http://schemas.openxmlformats.org/spreadsheetml/2006/main" count="2076" uniqueCount="411">
  <si>
    <t xml:space="preserve">2) В штатном расписании МУП ТВК "Кавказский" для обслуживания вышеуказанной техники предусмотрено 6 водителей и 3 машиниста. </t>
  </si>
  <si>
    <t xml:space="preserve">3) При стопроцентной загруженности водителей общее количество часов работы транспорта составит: </t>
  </si>
  <si>
    <t>авто/час.</t>
  </si>
  <si>
    <t xml:space="preserve">    При стопроцентной загруженности машинистов общее количество часов работы транспорта составит: </t>
  </si>
  <si>
    <t>мото/час.</t>
  </si>
  <si>
    <t>4) Среднее количество авто/часов 1 единицы техники составит</t>
  </si>
  <si>
    <t>авто/час :</t>
  </si>
  <si>
    <t>авто/час</t>
  </si>
  <si>
    <t xml:space="preserve">    Среднее количество мото/часов 1 единицы техники составит</t>
  </si>
  <si>
    <t xml:space="preserve">5) Эксплуатация транспорта в целях производственной необходимости используется неравномерно </t>
  </si>
  <si>
    <t xml:space="preserve">Согласно отчетности подразделения "гараж и мастерские" загруженность авто/техники </t>
  </si>
  <si>
    <t>представлена в табл. 1</t>
  </si>
  <si>
    <t>Таблица 1</t>
  </si>
  <si>
    <t>№ п/п</t>
  </si>
  <si>
    <t>Наименование транспорта, используемого в процессе деятельности предприятия</t>
  </si>
  <si>
    <t>Расчетные данные</t>
  </si>
  <si>
    <t>Годовое время работы 1 ед. транспорта, час.</t>
  </si>
  <si>
    <t xml:space="preserve">соотношение пробега ед-цы транспорта к общему пробегу, % </t>
  </si>
  <si>
    <t>количество бочек, приходящихся на ед. техники, шт.</t>
  </si>
  <si>
    <t>**Время, приходящееся на работу оборудования, час.</t>
  </si>
  <si>
    <t>ГАЗ-3307 фургон</t>
  </si>
  <si>
    <t>ГАЗ 430100 дорожная служба</t>
  </si>
  <si>
    <t>УАЗ-390944</t>
  </si>
  <si>
    <t>ВАЗ-213100 "Нива"</t>
  </si>
  <si>
    <t>МАЗ самосвал</t>
  </si>
  <si>
    <t>ГАЗ – 53 АСМ</t>
  </si>
  <si>
    <t>ГАЗ – 3307 АСМ</t>
  </si>
  <si>
    <t>ГАЗ – 3309 КО-503В-2 (вакуумная)</t>
  </si>
  <si>
    <t>ЗИЛ-433362 КО-502Б-2 (для очистки канализационных сетей</t>
  </si>
  <si>
    <t>Х</t>
  </si>
  <si>
    <t>ИТОГО</t>
  </si>
  <si>
    <t>Таблица 2</t>
  </si>
  <si>
    <t>Вид транспорта, используемого в процессе деятельности предприятия</t>
  </si>
  <si>
    <t>Количество единиц транспорта</t>
  </si>
  <si>
    <t>Время, приходящееся на пробег транспорта, час.</t>
  </si>
  <si>
    <t>Фургон</t>
  </si>
  <si>
    <t>Ассенизаторская машина</t>
  </si>
  <si>
    <t>ЗИЛ - 433362 КО-829А</t>
  </si>
  <si>
    <t xml:space="preserve">Согласно отчетности подразделения "гараж и мастерские" загруженность мото/техники </t>
  </si>
  <si>
    <t>представлена в табл. 2</t>
  </si>
  <si>
    <t>Таблица 3</t>
  </si>
  <si>
    <t xml:space="preserve">соотношение работы ед-цы транспорта к общему времени работы % </t>
  </si>
  <si>
    <t>количество часов, приходящееся на пробег техники, час.*</t>
  </si>
  <si>
    <t>Время, приходящееся на работу оборудования, час.</t>
  </si>
  <si>
    <t>Автокран УРАЛ - 5557</t>
  </si>
  <si>
    <t>Экскаватор ЮМЗ-2621</t>
  </si>
  <si>
    <t>Экскаватор ЭО-2626 на базе трактора МТЗ-82</t>
  </si>
  <si>
    <t>Трактор МТЗ-80 с тракторной тележкой 2-ПТС4</t>
  </si>
  <si>
    <t>Автогрейдер ДЗ-180</t>
  </si>
  <si>
    <t>Трактор Т-25</t>
  </si>
  <si>
    <t>Таблица 4</t>
  </si>
  <si>
    <t>Экскаваторы</t>
  </si>
  <si>
    <t>Трактора</t>
  </si>
  <si>
    <t>Автогрейдер</t>
  </si>
  <si>
    <t>Автокран</t>
  </si>
  <si>
    <t>Экономист</t>
  </si>
  <si>
    <t>(86193) 22-3-20</t>
  </si>
  <si>
    <t>Левшунова А.Н.</t>
  </si>
  <si>
    <t>** норма расхода времени на закачку и выкачку 1 бочки - 30 мин.</t>
  </si>
  <si>
    <t>УТВЕРЖДАЮ</t>
  </si>
  <si>
    <t>Директор МУП ТВК "Кавказский"</t>
  </si>
  <si>
    <t>Вид транспорта</t>
  </si>
  <si>
    <t>Ед.изм.</t>
  </si>
  <si>
    <t>Для населения и бюджетных организаций</t>
  </si>
  <si>
    <t>Для прочих потребителей</t>
  </si>
  <si>
    <t>рост %</t>
  </si>
  <si>
    <t>Всего</t>
  </si>
  <si>
    <t>руб./час</t>
  </si>
  <si>
    <t>перегон</t>
  </si>
  <si>
    <t>руб./км</t>
  </si>
  <si>
    <t>работа оборудования</t>
  </si>
  <si>
    <t>руб/час</t>
  </si>
  <si>
    <t>КО-829А на базе ЗИЛ-433362</t>
  </si>
  <si>
    <t>- пробег</t>
  </si>
  <si>
    <t>руб/км</t>
  </si>
  <si>
    <t>- работа плугом</t>
  </si>
  <si>
    <t>- работа щеткой</t>
  </si>
  <si>
    <t>- работа плугом и щеткой</t>
  </si>
  <si>
    <t>- работа поливомоечного оборудования</t>
  </si>
  <si>
    <t>- работа разбрасывающего оборудования при нормах:</t>
  </si>
  <si>
    <t xml:space="preserve">     120 гр. ПСС (75/25)</t>
  </si>
  <si>
    <t>руб/1000м²</t>
  </si>
  <si>
    <t xml:space="preserve">     120 гр. ПСС (50/50)</t>
  </si>
  <si>
    <t xml:space="preserve">     30 гр.   ПСС (50/50)</t>
  </si>
  <si>
    <t xml:space="preserve">     40 гр.   ПСС (25/75)</t>
  </si>
  <si>
    <t xml:space="preserve">     40 гр.   ПСС (75/25)</t>
  </si>
  <si>
    <t>- пробег / дневное время/</t>
  </si>
  <si>
    <t>- полив /дневное время/</t>
  </si>
  <si>
    <t>- пробег /ночное время/</t>
  </si>
  <si>
    <t>-полив в ночное время</t>
  </si>
  <si>
    <t>МТЗ- 80.1 с тележкой  2ПТС-4</t>
  </si>
  <si>
    <t>МТЗ-80.1 для покоса травы</t>
  </si>
  <si>
    <t>САГ</t>
  </si>
  <si>
    <t xml:space="preserve">КАЛЬКУЛЯЦИЯ </t>
  </si>
  <si>
    <t>стоимости 1 авточаса ГАЗ-3307 (фургон)</t>
  </si>
  <si>
    <t>Наименование статей</t>
  </si>
  <si>
    <t>С топливом</t>
  </si>
  <si>
    <t>Стоимость, руб.</t>
  </si>
  <si>
    <t>руб.</t>
  </si>
  <si>
    <t>Доплата за классность</t>
  </si>
  <si>
    <t>Доплата за слесарные работы</t>
  </si>
  <si>
    <t>Премия</t>
  </si>
  <si>
    <t xml:space="preserve">Время работы </t>
  </si>
  <si>
    <t>мин.</t>
  </si>
  <si>
    <t>Фонд оплаты труда</t>
  </si>
  <si>
    <t xml:space="preserve">Начисления на ФОТ </t>
  </si>
  <si>
    <t>Амортизация</t>
  </si>
  <si>
    <t>износ -100 %</t>
  </si>
  <si>
    <t>Ремонтный фонд</t>
  </si>
  <si>
    <t>Расход бензина</t>
  </si>
  <si>
    <t>0,257 л * 50 км</t>
  </si>
  <si>
    <t>л.</t>
  </si>
  <si>
    <t>Расход масел</t>
  </si>
  <si>
    <t>моторное</t>
  </si>
  <si>
    <t xml:space="preserve">х топливо х  </t>
  </si>
  <si>
    <t>трансмиссионное</t>
  </si>
  <si>
    <t xml:space="preserve">х топливо х </t>
  </si>
  <si>
    <t>специальное</t>
  </si>
  <si>
    <t>пластичные смазки</t>
  </si>
  <si>
    <t>Итого расход масел</t>
  </si>
  <si>
    <t>Общехозяйственные расходы</t>
  </si>
  <si>
    <t>Себестоимость услуги</t>
  </si>
  <si>
    <t>Рентабельность:</t>
  </si>
  <si>
    <t>для населения и муниципальных предприятий</t>
  </si>
  <si>
    <t>для прочих юридических лиц и предпринимателей</t>
  </si>
  <si>
    <t>ИТОГО с рентабельностью</t>
  </si>
  <si>
    <t>Часовая тарифная ставка водителя</t>
  </si>
  <si>
    <t>164 час.* 3 чел. * 11 мес. =</t>
  </si>
  <si>
    <t>164 час.* 6 чел. * 11 мес. =</t>
  </si>
  <si>
    <t>РАСЧЕТ АМОРТИЗАЦИОННЫХ ОТЧИСЛЕНИЙ И СУММЫ РЕМОНТНОГО ФОНДА ГАЗ 3307 (ФУРГОН)</t>
  </si>
  <si>
    <t xml:space="preserve">1. Общее количество авто/час транспорта (при загруженности - 100 %,)  в год составляет:       </t>
  </si>
  <si>
    <t>час.</t>
  </si>
  <si>
    <t>2. Количество часов, приходящееся на ТО-1 и ТО-2 транспорта:</t>
  </si>
  <si>
    <t xml:space="preserve">3. ГАЗ 3307 (фургон) введен в эксплуатацию 01.01.93 г., износ составляет 100% </t>
  </si>
  <si>
    <t>В связи с полным износом транспорта, период времени, приходящегося на дополнительное</t>
  </si>
  <si>
    <t>техническое  обслуживание составляет  (в соответствии с дефектной ведомостью):</t>
  </si>
  <si>
    <t xml:space="preserve">Количество часов работы транспорта = </t>
  </si>
  <si>
    <t xml:space="preserve">4. Сумма ремонтного фонда ведомости (согласно дефектной ведомости)  - </t>
  </si>
  <si>
    <t>Сумма амортизации  =</t>
  </si>
  <si>
    <t>сумма годовой амортизации</t>
  </si>
  <si>
    <t xml:space="preserve"> время работы транспорта</t>
  </si>
  <si>
    <t>Сумма ремонтного фонда   =</t>
  </si>
  <si>
    <t xml:space="preserve">сумма планового ремонтного фонда </t>
  </si>
  <si>
    <t>Расчет амортизационных отчислений и суммы ремонтного фонда</t>
  </si>
  <si>
    <t>Наименование транспорта</t>
  </si>
  <si>
    <t>Суммы калькуляционных статей</t>
  </si>
  <si>
    <t>сумма годовой аморти-и, руб.</t>
  </si>
  <si>
    <t>сумма годового ремонтного фонда, руб.</t>
  </si>
  <si>
    <t>время работы, час.</t>
  </si>
  <si>
    <t>амортизация</t>
  </si>
  <si>
    <t>ремонтный фонд</t>
  </si>
  <si>
    <t>ГАЗ 3307 (фургон)</t>
  </si>
  <si>
    <t>стоимости 1 авточаса ГАЗ-430100 (фургон)</t>
  </si>
  <si>
    <t>Часовая тарифная ставка</t>
  </si>
  <si>
    <t>водителя</t>
  </si>
  <si>
    <t>износ-100%</t>
  </si>
  <si>
    <t>Расход дизтоплива</t>
  </si>
  <si>
    <t>0,205 л * 50 км</t>
  </si>
  <si>
    <t>РАСЧЕТ АМОРТИЗАЦИОННЫХ ОТЧИСЛЕНИЙ И СУММЫ РЕМОНТНОГО ФОНДА ГАЗ 430100 (ФУРГОН)</t>
  </si>
  <si>
    <t xml:space="preserve">3. ГАЗ 430100 (фургон) введен в эксплуатацию 01.01.94 г., износ составляет 100% </t>
  </si>
  <si>
    <t>техническое  обслуживание составляет   (в соответствии с дефектной ведомостью):</t>
  </si>
  <si>
    <t>ГАЗ 430100 (фургон)</t>
  </si>
  <si>
    <t>УТВЕРЖДАЮ:</t>
  </si>
  <si>
    <t>стоимости 1 авточаса УАЗ 390944</t>
  </si>
  <si>
    <t>Начисления на ФОТ</t>
  </si>
  <si>
    <t>0,185 л *60 км</t>
  </si>
  <si>
    <t>х топливо х</t>
  </si>
  <si>
    <t>РАСЧЕТ АМОРТИЗАЦИОННЫХ ОТЧИСЛЕНИЙ И СУММЫ РЕМОНТНОГО ФОНДА УАЗ 390944</t>
  </si>
  <si>
    <t xml:space="preserve">3. Период времени, приходящегося на дополнительное техническое  обслуживание составляет  </t>
  </si>
  <si>
    <t xml:space="preserve">4. Сумма годовой амортизации  - </t>
  </si>
  <si>
    <t xml:space="preserve">5. Сумма ремонтного фонда ведомости (согласно дефектной ведомости)  - </t>
  </si>
  <si>
    <t>УАЗ 390944</t>
  </si>
  <si>
    <t>стоимости 1 авточаса ВАЗ-213100 "Нива"</t>
  </si>
  <si>
    <t>Расход СНГ</t>
  </si>
  <si>
    <t>0,129 л * 60 км</t>
  </si>
  <si>
    <t>РАСЧЕТ АМОРТИЗАЦИОННЫХ ОТЧИСЛЕНИЙ И СУММЫ РЕМОНТНОГО ФОНДА ВАЗ 213100 "Нива"</t>
  </si>
  <si>
    <t>ВАЗ 213100 "Нива"</t>
  </si>
  <si>
    <t>стоимости 1 авточаса МАЗ-5551 (самосвал)</t>
  </si>
  <si>
    <t>пробег</t>
  </si>
  <si>
    <t xml:space="preserve">0,294л * 60 км </t>
  </si>
  <si>
    <t>0,0025 × 2</t>
  </si>
  <si>
    <t>Итого расход дизтоплива</t>
  </si>
  <si>
    <t>РАСЧЕТ АМОРТИЗАЦИОННЫХ ОТЧИСЛЕНИЙ И СУММЫ РЕМОНТНОГО ФОНДА МАЗ-5551 (самосвал)</t>
  </si>
  <si>
    <t xml:space="preserve">3.МАЗ-5551 (самосвал) введен в эксплуатацию 01.01.95 г., износ составляет 100% </t>
  </si>
  <si>
    <t>МАЗ-5551 (самосвал)</t>
  </si>
  <si>
    <t>стоимости 1 авточаса автокрана УРАЛ - 5557-1652-10</t>
  </si>
  <si>
    <t>Перегон 1 км</t>
  </si>
  <si>
    <t>Работа оборудования 1 час</t>
  </si>
  <si>
    <t>1,5 мин</t>
  </si>
  <si>
    <t>ИЗНОС -100 %</t>
  </si>
  <si>
    <t xml:space="preserve">0,42 л. х 1 км. </t>
  </si>
  <si>
    <t xml:space="preserve"> х топливо х  </t>
  </si>
  <si>
    <t xml:space="preserve"> х топливо х </t>
  </si>
  <si>
    <t xml:space="preserve"> х топливо х</t>
  </si>
  <si>
    <t xml:space="preserve">Доплата </t>
  </si>
  <si>
    <t>Износ - 100 %</t>
  </si>
  <si>
    <t xml:space="preserve">РАСЧЕТ АМОРТИЗАЦИОННЫХ ОТЧИСЛЕНИЙ И СУММЫ РЕМОНТНОГО ФОНДА УРАЛ-5557 КС-3574 </t>
  </si>
  <si>
    <t xml:space="preserve">    Количество часов работы, приходящиееся на работу оборудования составляет:       </t>
  </si>
  <si>
    <t xml:space="preserve">час., что составляет  - </t>
  </si>
  <si>
    <t>%</t>
  </si>
  <si>
    <t xml:space="preserve">    Количество часов работы, приходящиееся на пробег транспорта составляет:       </t>
  </si>
  <si>
    <t xml:space="preserve">3. УРАЛ-5557 КС-3574 (самосвал) введен в эксплуатацию 01.01.94 г., износ составляет 100% </t>
  </si>
  <si>
    <t xml:space="preserve">4. Количество часов технического обслуживания, приходящиееся на работу оборудования:       </t>
  </si>
  <si>
    <t xml:space="preserve">    Количество часов технического обслуживания, приходящиееся на пробег оборудования:       </t>
  </si>
  <si>
    <t>час</t>
  </si>
  <si>
    <t xml:space="preserve">Количество часов, приходящееся на работу транспорта = </t>
  </si>
  <si>
    <t xml:space="preserve">Количество часов, приходящееся на пробег транспорта = </t>
  </si>
  <si>
    <t>Расчет амортизационных отчислений и суммы ремонтного фонда"УРАЛ-5557" КС-3574</t>
  </si>
  <si>
    <t>Итого</t>
  </si>
  <si>
    <t>Доплата за условия труда</t>
  </si>
  <si>
    <t>техническое  обслуживание составляет  (в соответствии с дефектной ведомостью)</t>
  </si>
  <si>
    <t>стоимости 1 авточаса ГАЗ-3307 (АСМ)</t>
  </si>
  <si>
    <t>Износ -100 %</t>
  </si>
  <si>
    <t>0,291л * 40 км</t>
  </si>
  <si>
    <t xml:space="preserve">1.7 л. х 2 </t>
  </si>
  <si>
    <t xml:space="preserve">РАСЧЕТ АМОРТИЗАЦИОННЫХ ОТЧИСЛЕНИЙ И СУММЫ РЕМОНТНОГО ФОНДА         ГАЗ-3307 (АСМ) </t>
  </si>
  <si>
    <t xml:space="preserve">3. ГАЗ -3307 (АСМ) введен в эксплуатацию 01.01.91 г., износ составляет 100% </t>
  </si>
  <si>
    <t>ГАЗ-3307 (АСМ)</t>
  </si>
  <si>
    <t>стоимости 1 авточаса ГАЗ-3309 КО-503В-2 (вакуумная)АСМ</t>
  </si>
  <si>
    <t>0,15 л * 40 км</t>
  </si>
  <si>
    <t xml:space="preserve">Итого </t>
  </si>
  <si>
    <t>РАСЧЕТ АМОРТИЗАЦИОННЫХ ОТЧИСЛЕНИЙ И СУММЫ РЕМОНТНОГО ФОНДА ГАЗ - 3309 КО-503В-2 (вакуумная)</t>
  </si>
  <si>
    <t>ГАЗ 3309 (АСМ)</t>
  </si>
  <si>
    <t>стоимости 1 авточаса ЗИЛ-433362 КО-502Б-2 (для очистки канализационных сетей)</t>
  </si>
  <si>
    <t>0,371 л * 50 км</t>
  </si>
  <si>
    <t>11,3 л. × 2</t>
  </si>
  <si>
    <t>0,371*60 км</t>
  </si>
  <si>
    <t>РАСЧЕТ АМОРТИЗАЦИОННЫХ ОТЧИСЛЕНИЙ И СУММЫ РЕМОНТНОГО ФОНДА  ЗИЛ-433362 КО-502Б-2 (для очистки канализационных сетей)</t>
  </si>
  <si>
    <t>ЗИЛ-433362 КО-502Б-2</t>
  </si>
  <si>
    <t>стоимости работы КО-829А на базе ЗИЛ - 433362</t>
  </si>
  <si>
    <t>Ед. изм.</t>
  </si>
  <si>
    <t>Расчетные величины</t>
  </si>
  <si>
    <t>в расчете на 1000 м² разбрасывающего оборудования</t>
  </si>
  <si>
    <t>75/25 ПСС      (120 гр.)</t>
  </si>
  <si>
    <t>50/50 ПСС      (120 гр)</t>
  </si>
  <si>
    <t>50/50 ПСС      (30 гр)</t>
  </si>
  <si>
    <t>25/75 ПСС      (40 гр)</t>
  </si>
  <si>
    <t>75/25 ПСС      (40 гр)</t>
  </si>
  <si>
    <t xml:space="preserve"> за час</t>
  </si>
  <si>
    <t xml:space="preserve">топливо (л). х </t>
  </si>
  <si>
    <t xml:space="preserve">х топливо х   </t>
  </si>
  <si>
    <t xml:space="preserve">Расход ПСС </t>
  </si>
  <si>
    <t>кг/1000 м²</t>
  </si>
  <si>
    <t>Соотношение песка и соли</t>
  </si>
  <si>
    <t>75/25</t>
  </si>
  <si>
    <t>50/50</t>
  </si>
  <si>
    <t>25/75</t>
  </si>
  <si>
    <t>Стоимость смеси песка</t>
  </si>
  <si>
    <t>руб./кг.</t>
  </si>
  <si>
    <t>Стоимость солевой смеси</t>
  </si>
  <si>
    <t>Стоимость ПСС</t>
  </si>
  <si>
    <t>Приготовление ПСС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</si>
  <si>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</si>
  <si>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Покрытие тыс./м²</t>
  </si>
  <si>
    <t>тыс.м²</t>
  </si>
  <si>
    <t>/норма россыпи</t>
  </si>
  <si>
    <t>Стоимость приготовления ПСС</t>
  </si>
  <si>
    <t xml:space="preserve">* Работа разбрасывающего оборудования рассчитывается на 1000 м² (средняя ширина дороги составляет 6 м) </t>
  </si>
  <si>
    <t xml:space="preserve">    Доплата за классность - 25 %</t>
  </si>
  <si>
    <t xml:space="preserve">    Премия - 40 %</t>
  </si>
  <si>
    <t xml:space="preserve">    Скорость движения при работе оборудования: плужного, щеточного, плужно-щеточного и поливомоечного - 10 км/час; при холостом пробеге - 35 км/час; при работе разбрасывающего оборудования - 5 км/час  </t>
  </si>
  <si>
    <t xml:space="preserve">     Стоимость приготовления 1 кузова  ПСС = </t>
  </si>
  <si>
    <t>руб.  :</t>
  </si>
  <si>
    <t>мин.  *</t>
  </si>
  <si>
    <t xml:space="preserve">мин. = </t>
  </si>
  <si>
    <t>в расчете на 1 км. холостого пробега</t>
  </si>
  <si>
    <t>руб</t>
  </si>
  <si>
    <t>стоимости работы КО-829А на базе ЗИЛ - 433362 ( дневное  время)</t>
  </si>
  <si>
    <t>в расчете на 1 час полива в ночное время(без учета стоимости воды)</t>
  </si>
  <si>
    <t>л/10 км</t>
  </si>
  <si>
    <t>Экономист МУП ТВК "Кавказский"</t>
  </si>
  <si>
    <t>стоимости работы КО-829А на базе ЗИЛ - 433362 (в ночное время)</t>
  </si>
  <si>
    <t>в т.ч. доплата за работу в ночное время</t>
  </si>
  <si>
    <t>РАСЧЕТ АМОРТИЗАЦИОННЫХ ОТЧИСЛЕНИЙ И СУММЫ РЕМОНТНОГО ФОНДА</t>
  </si>
  <si>
    <t>КО 829А ЗИЛ 433362</t>
  </si>
  <si>
    <t xml:space="preserve">Работа оборудования: плужная, плужно-щеточная и разбрасывающая может производится только в зимнее время - 3 мес.  </t>
  </si>
  <si>
    <t xml:space="preserve">Работа оборудования: поливомоечная , щеточная, полив - 9 мес.  </t>
  </si>
  <si>
    <t>Перераспределение плана работы оборудования</t>
  </si>
  <si>
    <t>Работа плугом</t>
  </si>
  <si>
    <t>Работа плугом и щеткой</t>
  </si>
  <si>
    <t>Работа разбрасывающего оборудования</t>
  </si>
  <si>
    <t>Работа щеткой</t>
  </si>
  <si>
    <t>Работа поливомоечного оборудования</t>
  </si>
  <si>
    <t>Работа оборудования при поливе</t>
  </si>
  <si>
    <t>Пробег</t>
  </si>
  <si>
    <t>Процентное соотношение часов работы оборудования к итогу (%)</t>
  </si>
  <si>
    <t>Количество часов (час)</t>
  </si>
  <si>
    <t>Средняя скорость (км/час)</t>
  </si>
  <si>
    <t>Плановый пробег (км)</t>
  </si>
  <si>
    <t>Плановая работа оборудования при поливе (час)</t>
  </si>
  <si>
    <t>Процентное соотношение час.  оборудования к итогу (%)</t>
  </si>
  <si>
    <t>4. Стоимость КО-829А на базе ЗИЛ 433362 - 1290156 руб</t>
  </si>
  <si>
    <t xml:space="preserve">    Амортизационная группа - 4, срок полезного использования - 7 лет</t>
  </si>
  <si>
    <t xml:space="preserve">Годовая сумма амортизационных отчислений  - 290156 руб. : 7 лет =  </t>
  </si>
  <si>
    <t xml:space="preserve"> руб/год</t>
  </si>
  <si>
    <t xml:space="preserve">   Сумма ремонтного фонда ведомости (согласно дефектной ведомости)  - </t>
  </si>
  <si>
    <t>плановый годовой пробег</t>
  </si>
  <si>
    <t xml:space="preserve">Вид услуги КО-829А на базе ЗИЛ-433362 </t>
  </si>
  <si>
    <t>сумма годовой аморти-и, руб</t>
  </si>
  <si>
    <t>плановый годовой пробег, км.</t>
  </si>
  <si>
    <t>план работы оборудования, час.</t>
  </si>
  <si>
    <t>Амортизация на 1 км.</t>
  </si>
  <si>
    <t>Амортизация на 1 час.</t>
  </si>
  <si>
    <t>Ремонтный фонд на 1 км.</t>
  </si>
  <si>
    <t>Ремонтный фонд на 1 час.</t>
  </si>
  <si>
    <t xml:space="preserve">плужная </t>
  </si>
  <si>
    <t>плужно-щеточная</t>
  </si>
  <si>
    <t>разбрасывающая</t>
  </si>
  <si>
    <t>щеточная</t>
  </si>
  <si>
    <t>поливомоечная</t>
  </si>
  <si>
    <t xml:space="preserve">пробег </t>
  </si>
  <si>
    <t>полив</t>
  </si>
  <si>
    <t xml:space="preserve">Работа оборудования: поливомоечная - 4,5 мес.  </t>
  </si>
  <si>
    <t xml:space="preserve">Работа оборудования: щеточная - 4,5 мес.  </t>
  </si>
  <si>
    <t>Расчет планового пробега</t>
  </si>
  <si>
    <t>Процентное соотношение км.  оборудования к итогу (%)</t>
  </si>
  <si>
    <t>сумма годовой аморти-и</t>
  </si>
  <si>
    <t>сумма годового ремонтного фонда</t>
  </si>
  <si>
    <t>Доплата за разряд</t>
  </si>
  <si>
    <t>стоимости 1 моточаса экскаватора ЭО 2626 на базе трактора МТЗ-82</t>
  </si>
  <si>
    <t xml:space="preserve">13,53 л. х </t>
  </si>
  <si>
    <t>РАСЧЕТ АМОРТИЗАЦИОННЫХ ОТЧИСЛЕНИЙ И СУММЫ РЕМОНТНОГО ФОНДА  ЭКСКАВАТОРА 2626 МТЗ-82</t>
  </si>
  <si>
    <t>ЭО 2626 МТЗ82</t>
  </si>
  <si>
    <t>стоимости 1 моточаса трактора МТЗ-80 с тележкой 2ПТС-4</t>
  </si>
  <si>
    <t xml:space="preserve">9,95 л. х </t>
  </si>
  <si>
    <t xml:space="preserve">стоимости 1 моточаса трактора МТЗ-80 для покоса травы   </t>
  </si>
  <si>
    <t>Материалы</t>
  </si>
  <si>
    <t>комплект для косилки</t>
  </si>
  <si>
    <t>ремень для косилки</t>
  </si>
  <si>
    <t xml:space="preserve">подшипники </t>
  </si>
  <si>
    <t>РАСЧЕТ АМОРТИЗАЦИОННЫХ ОТЧИСЛЕНИЙ И СУММЫ РЕМОНТНОГО ФОНДА  ТРАКТОРА МТЗ-80 С ПРИЦЕПОМ 2 ПТС-4</t>
  </si>
  <si>
    <t>Трактор МТЗ 80</t>
  </si>
  <si>
    <t>стоимости 1 моточаса автогрейдера ДЗ-180</t>
  </si>
  <si>
    <t xml:space="preserve">12,82 л. х </t>
  </si>
  <si>
    <t>РАСЧЕТ АМОРТИЗАЦИОННЫХ ОТЧИСЛЕНИЙ И СУММЫ РЕМОНТНОГО ФОНДА  АВТОГРЕЙДЕР ДЗ-180</t>
  </si>
  <si>
    <t xml:space="preserve">3. Автогрейдер ДЗ 180 введен в эксплуатацию 01.01.94 г., износ составляет 100% </t>
  </si>
  <si>
    <t xml:space="preserve">техническое  обслуживание составляет  </t>
  </si>
  <si>
    <t>стоимости 1 моточаса трактора Т-25</t>
  </si>
  <si>
    <t xml:space="preserve">2,7 л. х </t>
  </si>
  <si>
    <t>РАСЧЕТ АМОРТИЗАЦИОННЫХ ОТЧИСЛЕНИЙ И СУММЫ РЕМОНТНОГО ФОНДА  ТРАКТОР Т-25</t>
  </si>
  <si>
    <t xml:space="preserve">3. Трактор Т-25  введен в эксплуатацию 01.01.90 г., износ составляет 100% </t>
  </si>
  <si>
    <t>стоимости 1 моточаса Сварочного агрегата АДД-400У (тележка)</t>
  </si>
  <si>
    <t xml:space="preserve">2,57л. х </t>
  </si>
  <si>
    <t>РАСЧЕТ АМОРТИЗАЦИОННЫХ ОТЧИСЛЕНИЙ И СУММЫ РЕМОНТНОГО ФОНДА  СВАРОЧНЫЙ АГРЕГАТ АДД-400У (ТЕЛЕЖКА)</t>
  </si>
  <si>
    <t xml:space="preserve">2. САГ  введен в эксплуатацию в 1997 г., износ составляет 100% </t>
  </si>
  <si>
    <t>Учитывая полный износ техники, период времени, приходящегося на техническое  обслуживание</t>
  </si>
  <si>
    <t xml:space="preserve">составляет  </t>
  </si>
  <si>
    <t xml:space="preserve">Количество часов работы  = </t>
  </si>
  <si>
    <t xml:space="preserve">3. Сумма ремонтного фонда ведомости (согласно дефектной ведомости)  - </t>
  </si>
  <si>
    <t>Автогрейдер  ДЗ-180</t>
  </si>
  <si>
    <t>ЗИЛ - 433362 КО-829А (комбинированная)</t>
  </si>
  <si>
    <t>Работа оборудования (1 час)</t>
  </si>
  <si>
    <t>Пробег транспорта (1 км)</t>
  </si>
  <si>
    <t xml:space="preserve">1. Общее количество мото/час транспорта (при загруженности - 100 %)  в год:       </t>
  </si>
  <si>
    <t>1,35 л. х 2</t>
  </si>
  <si>
    <t>*Ширина рабочей зоны при работе оборудования плужного, щеточного, плужно-щеточного и поливомоечного - составляет  2,5 м, исходя из этого расчет стоимости вышеуказанного оборудования рассчитывается на 1 км одной полосы дороги.</t>
  </si>
  <si>
    <t>л/1 км</t>
  </si>
  <si>
    <t>кг/м² покрытия</t>
  </si>
  <si>
    <t>в расчете на 1 час полива в дневное время(без учета стоимости воды)</t>
  </si>
  <si>
    <t>* Стоимость работы складывается: из стоимости 1 км холостого пробега , пройденного автомобилем до места, определенного потребителем, с момента прибытия расчет производится за количество отработанного времени (час), по завершению работы рассчитывается расстояние, пройденное от места произведенных работ до места нахождения МУП ТВК "Кавказский" в расчете на 1 км холостого пробега</t>
  </si>
  <si>
    <t xml:space="preserve">топливо (л) х </t>
  </si>
  <si>
    <t>* базовым  принимается период, предшествующий расчетному</t>
  </si>
  <si>
    <r>
      <t xml:space="preserve">Время работы 1 ед. транспорта </t>
    </r>
    <r>
      <rPr>
        <i/>
        <sz val="9"/>
        <rFont val="Times New Roman"/>
        <family val="1"/>
        <charset val="204"/>
      </rPr>
      <t>= (общее количество мото/часов - общее время, приходящееся на пробег техники) * процент загруженности техники в базовом периоде + время, приходящееся на пробег 1 единицы техники</t>
    </r>
  </si>
  <si>
    <r>
      <t xml:space="preserve">Время работы 1 ед. транспорта </t>
    </r>
    <r>
      <rPr>
        <i/>
        <sz val="9"/>
        <rFont val="Times New Roman"/>
        <family val="1"/>
        <charset val="204"/>
      </rPr>
      <t>= (общее количество авто/часов - общее время, приходящееся на работу оборудования) * процент загруженности техники в базовом периоде + время, работы оборудования приходящееся на 1 единицу техники</t>
    </r>
  </si>
  <si>
    <t xml:space="preserve"> </t>
  </si>
  <si>
    <t>занимает 30 мин.</t>
  </si>
  <si>
    <t xml:space="preserve">     На приготовление 1 кузова ПСС уходит  40 мин., в процессе приготовления задействован трактор МТЗ - 80, погрузка ПСС  </t>
  </si>
  <si>
    <t>2)  Вместимость кузова разбрасывателя - 3,1 м³, средний переводной коэффициент - 1,355, соответственно максимальная масса</t>
  </si>
  <si>
    <t xml:space="preserve"> ПСС - 4200 кг.</t>
  </si>
  <si>
    <t>Часовая тарифная ставка  слесаря АВР 5 р</t>
  </si>
  <si>
    <t>Часовая тарифная ставка слесаря АВР 4 р</t>
  </si>
  <si>
    <t>С топливом, руб.</t>
  </si>
  <si>
    <t>Без топлива, руб.</t>
  </si>
  <si>
    <t>1) Часовая тарифная ставка водителя (1 час) - 74,34 руб.</t>
  </si>
  <si>
    <t xml:space="preserve">    Фонд оплаты труда 1 часа водителя составляет 130,1 руб.</t>
  </si>
  <si>
    <t>«   »                2016 года</t>
  </si>
  <si>
    <t>______________Чабан А.М.</t>
  </si>
  <si>
    <t>_________________Чабан А.М.</t>
  </si>
  <si>
    <t>«   »              2016 года</t>
  </si>
  <si>
    <t>«     »                   2016 года</t>
  </si>
  <si>
    <t>ПЛАНОВЫЙ РАСЧЕТ ВРЕМЕНИ РАБОТЫ ТРАНСПОРТА                                                    МУП ТВК "КАВКАЗСКИЙ" на 2017 г.</t>
  </si>
  <si>
    <t>_____________Чабан А. М.</t>
  </si>
  <si>
    <t xml:space="preserve"> МУП ТВК "Кавказский" на 2017 г.</t>
  </si>
  <si>
    <t>ЦЕНЫ (ТАРИФЫ) на услуги автотранспорта и специального транспорта</t>
  </si>
  <si>
    <t>«    » _______________   2016 года</t>
  </si>
  <si>
    <t>цена  бюдж. 2016 г.</t>
  </si>
  <si>
    <t>Загруженность авто/техники в базовом периоде* и расчет планового времени работы единицы техники на 2017 г.</t>
  </si>
  <si>
    <t>Плановое время работы транспорта по видам техники на 2017 г.</t>
  </si>
  <si>
    <t>_________________  Чабан А.М.</t>
  </si>
  <si>
    <t>«   »                  2016 года</t>
  </si>
  <si>
    <t>В 2017 г. планируется, что техника, распределенная по видам, будет загружена равномерно</t>
  </si>
  <si>
    <t>Плановое время работы транспорта по видам техники на 2017 г. представлена а табл. 2</t>
  </si>
  <si>
    <t>Загруженность мото/техники в базовом периоде* и расчет планового времени работы единицы техники на 2017 г.</t>
  </si>
  <si>
    <t>*средняя скорость автокрана "Урал" по станице Кавказской  - 40 км/час, пробег в базовом периоде составил - 2985 км.</t>
  </si>
  <si>
    <t>1) На балансе МУП ТВК "Кавказский" числится  18 единиц транспорта: 11 единиц автотранспорта и автомобильного специализированного транспорта (включая КО-829А на базе ЗИЛ 433362) и 7 единиц прочего специализированного транспорта</t>
  </si>
  <si>
    <t xml:space="preserve">11 единиц   = </t>
  </si>
  <si>
    <t xml:space="preserve">7 единиц   = </t>
  </si>
  <si>
    <t>в расчете на 1 км работы плугом</t>
  </si>
  <si>
    <t>в расчете на 1 км пробега</t>
  </si>
  <si>
    <t>в расчете на 1 км работы щеткой</t>
  </si>
  <si>
    <t>в расчете на 1км работы плугом и щеткой</t>
  </si>
  <si>
    <t xml:space="preserve">в расчете на 1 км поливо-моечного оборудования, </t>
  </si>
  <si>
    <t>в расчете на 1км работы плугом</t>
  </si>
  <si>
    <t>_________________Чабан А. М.</t>
  </si>
  <si>
    <t>«    »                2016 года</t>
  </si>
  <si>
    <t xml:space="preserve">*96,84 % = </t>
  </si>
  <si>
    <t xml:space="preserve"> * 3,16%  = </t>
  </si>
  <si>
    <t>ЗИЛ-433362 КО-502Б-2 (для очистки канализационных сетей) без слесарей</t>
  </si>
  <si>
    <t>ЗИЛ-433362 КО-502Б-2 (для очистки канализационных сетей) вкл. слесарей</t>
  </si>
  <si>
    <t>в расчете на 1 км холостого пробега</t>
  </si>
  <si>
    <t xml:space="preserve">      производственная себестоимость трактора МТЗ - 80 = 772,43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</si>
</sst>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0"/>
    <numFmt numFmtId="166" formatCode="0.00000"/>
    <numFmt numFmtId="167" formatCode="0.000"/>
  </numFmts>
  <fonts count="18" x14ac:knownFonts="1">
    <font>
      <sz val="11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1"/>
      <charset val="204"/>
    </font>
    <font>
      <sz val="7"/>
      <name val="Times New Roman"/>
      <family val="1"/>
      <charset val="204"/>
    </font>
    <font>
      <i/>
      <sz val="7"/>
      <name val="Times New Roman"/>
      <family val="1"/>
      <charset val="204"/>
    </font>
    <font>
      <i/>
      <u/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sz val="12"/>
      <name val="Times New Roman"/>
      <family val="1"/>
      <charset val="204"/>
    </font>
    <font>
      <i/>
      <u/>
      <sz val="8"/>
      <name val="Times New Roman"/>
      <family val="1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526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2" fontId="2" fillId="0" borderId="0" xfId="0" applyNumberFormat="1" applyFont="1" applyAlignment="1">
      <alignment vertical="center" wrapText="1"/>
    </xf>
    <xf numFmtId="164" fontId="2" fillId="0" borderId="0" xfId="0" applyNumberFormat="1" applyFont="1" applyAlignment="1">
      <alignment horizontal="center" vertical="center" wrapText="1"/>
    </xf>
    <xf numFmtId="2" fontId="2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164" fontId="4" fillId="0" borderId="0" xfId="0" applyNumberFormat="1" applyFont="1" applyAlignment="1">
      <alignment horizontal="left" vertical="center" wrapText="1"/>
    </xf>
    <xf numFmtId="2" fontId="4" fillId="0" borderId="0" xfId="0" applyNumberFormat="1" applyFont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left" vertical="center" wrapText="1"/>
    </xf>
    <xf numFmtId="164" fontId="3" fillId="0" borderId="5" xfId="0" applyNumberFormat="1" applyFont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2" fontId="3" fillId="0" borderId="3" xfId="0" applyNumberFormat="1" applyFont="1" applyBorder="1" applyAlignment="1">
      <alignment horizontal="right" vertical="center" wrapText="1"/>
    </xf>
    <xf numFmtId="164" fontId="3" fillId="0" borderId="3" xfId="0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9" fillId="0" borderId="0" xfId="0" applyFont="1" applyFill="1" applyAlignment="1">
      <alignment vertical="center"/>
    </xf>
    <xf numFmtId="0" fontId="2" fillId="0" borderId="3" xfId="0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2" fontId="3" fillId="0" borderId="5" xfId="0" applyNumberFormat="1" applyFont="1" applyBorder="1" applyAlignment="1">
      <alignment horizontal="right" vertical="center" wrapText="1"/>
    </xf>
    <xf numFmtId="0" fontId="3" fillId="0" borderId="0" xfId="0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center" vertical="center" wrapText="1"/>
    </xf>
    <xf numFmtId="164" fontId="9" fillId="0" borderId="0" xfId="0" applyNumberFormat="1" applyFont="1" applyFill="1" applyAlignment="1">
      <alignment vertical="center"/>
    </xf>
    <xf numFmtId="2" fontId="9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164" fontId="9" fillId="0" borderId="0" xfId="0" applyNumberFormat="1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0" borderId="16" xfId="0" applyFont="1" applyBorder="1" applyAlignment="1">
      <alignment horizontal="left" vertical="center" wrapText="1"/>
    </xf>
    <xf numFmtId="4" fontId="9" fillId="0" borderId="16" xfId="0" applyNumberFormat="1" applyFont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0" fontId="9" fillId="0" borderId="18" xfId="0" applyFont="1" applyBorder="1" applyAlignment="1">
      <alignment horizontal="left" vertical="center" wrapText="1"/>
    </xf>
    <xf numFmtId="0" fontId="9" fillId="0" borderId="17" xfId="0" applyFont="1" applyBorder="1" applyAlignment="1">
      <alignment horizontal="center" vertical="center" wrapText="1"/>
    </xf>
    <xf numFmtId="49" fontId="9" fillId="0" borderId="16" xfId="0" applyNumberFormat="1" applyFont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 vertical="center" wrapText="1"/>
    </xf>
    <xf numFmtId="49" fontId="9" fillId="0" borderId="0" xfId="0" applyNumberFormat="1" applyFont="1" applyBorder="1" applyAlignment="1">
      <alignment horizontal="left" vertical="center" wrapText="1"/>
    </xf>
    <xf numFmtId="0" fontId="9" fillId="0" borderId="0" xfId="0" applyFont="1" applyBorder="1" applyAlignment="1">
      <alignment horizontal="center" vertical="center" wrapText="1"/>
    </xf>
    <xf numFmtId="4" fontId="9" fillId="0" borderId="0" xfId="0" applyNumberFormat="1" applyFont="1" applyBorder="1" applyAlignment="1">
      <alignment horizontal="center" vertical="center" wrapText="1"/>
    </xf>
    <xf numFmtId="2" fontId="9" fillId="0" borderId="0" xfId="0" applyNumberFormat="1" applyFont="1" applyFill="1" applyAlignment="1">
      <alignment horizontal="center" vertical="center"/>
    </xf>
    <xf numFmtId="0" fontId="9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right" vertical="center"/>
    </xf>
    <xf numFmtId="2" fontId="14" fillId="0" borderId="3" xfId="0" applyNumberFormat="1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/>
    </xf>
    <xf numFmtId="0" fontId="9" fillId="0" borderId="3" xfId="0" applyFont="1" applyFill="1" applyBorder="1" applyAlignment="1">
      <alignment horizontal="center" vertical="center"/>
    </xf>
    <xf numFmtId="2" fontId="9" fillId="0" borderId="3" xfId="0" applyNumberFormat="1" applyFont="1" applyFill="1" applyBorder="1" applyAlignment="1">
      <alignment vertical="center"/>
    </xf>
    <xf numFmtId="10" fontId="9" fillId="0" borderId="3" xfId="0" applyNumberFormat="1" applyFont="1" applyFill="1" applyBorder="1" applyAlignment="1">
      <alignment vertical="center"/>
    </xf>
    <xf numFmtId="0" fontId="12" fillId="0" borderId="3" xfId="0" applyFont="1" applyFill="1" applyBorder="1" applyAlignment="1">
      <alignment horizontal="center" vertical="center"/>
    </xf>
    <xf numFmtId="0" fontId="12" fillId="0" borderId="3" xfId="0" applyFont="1" applyFill="1" applyBorder="1" applyAlignment="1">
      <alignment vertical="center"/>
    </xf>
    <xf numFmtId="2" fontId="12" fillId="0" borderId="3" xfId="0" applyNumberFormat="1" applyFont="1" applyFill="1" applyBorder="1" applyAlignment="1">
      <alignment vertical="center"/>
    </xf>
    <xf numFmtId="10" fontId="12" fillId="0" borderId="3" xfId="0" applyNumberFormat="1" applyFont="1" applyFill="1" applyBorder="1" applyAlignment="1">
      <alignment vertical="center"/>
    </xf>
    <xf numFmtId="2" fontId="9" fillId="0" borderId="3" xfId="0" applyNumberFormat="1" applyFont="1" applyFill="1" applyBorder="1" applyAlignment="1">
      <alignment horizontal="right" vertical="center"/>
    </xf>
    <xf numFmtId="4" fontId="9" fillId="0" borderId="3" xfId="0" applyNumberFormat="1" applyFont="1" applyFill="1" applyBorder="1" applyAlignment="1">
      <alignment horizontal="right" vertical="center"/>
    </xf>
    <xf numFmtId="2" fontId="12" fillId="0" borderId="3" xfId="0" applyNumberFormat="1" applyFont="1" applyFill="1" applyBorder="1" applyAlignment="1">
      <alignment horizontal="right" vertical="center"/>
    </xf>
    <xf numFmtId="10" fontId="9" fillId="0" borderId="9" xfId="0" applyNumberFormat="1" applyFont="1" applyFill="1" applyBorder="1" applyAlignment="1">
      <alignment horizontal="center" vertical="center"/>
    </xf>
    <xf numFmtId="4" fontId="9" fillId="0" borderId="9" xfId="0" applyNumberFormat="1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4" fontId="9" fillId="0" borderId="0" xfId="0" applyNumberFormat="1" applyFont="1" applyFill="1" applyBorder="1" applyAlignment="1">
      <alignment horizontal="center" vertical="center"/>
    </xf>
    <xf numFmtId="1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164" fontId="3" fillId="0" borderId="0" xfId="0" applyNumberFormat="1" applyFont="1" applyAlignment="1">
      <alignment vertical="center" wrapText="1"/>
    </xf>
    <xf numFmtId="0" fontId="2" fillId="0" borderId="0" xfId="0" applyFont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2" fontId="11" fillId="0" borderId="3" xfId="0" applyNumberFormat="1" applyFont="1" applyBorder="1" applyAlignment="1">
      <alignment horizontal="right" vertical="center" wrapText="1"/>
    </xf>
    <xf numFmtId="2" fontId="11" fillId="0" borderId="3" xfId="0" applyNumberFormat="1" applyFont="1" applyBorder="1" applyAlignment="1">
      <alignment horizontal="right" vertical="center"/>
    </xf>
    <xf numFmtId="2" fontId="11" fillId="0" borderId="10" xfId="0" applyNumberFormat="1" applyFont="1" applyBorder="1" applyAlignment="1">
      <alignment horizontal="right" vertical="center"/>
    </xf>
    <xf numFmtId="0" fontId="2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9" fillId="0" borderId="0" xfId="0" applyFont="1" applyFill="1"/>
    <xf numFmtId="165" fontId="9" fillId="0" borderId="0" xfId="0" applyNumberFormat="1" applyFont="1" applyFill="1"/>
    <xf numFmtId="0" fontId="12" fillId="0" borderId="0" xfId="0" applyFont="1" applyFill="1" applyAlignment="1">
      <alignment horizontal="right"/>
    </xf>
    <xf numFmtId="0" fontId="9" fillId="0" borderId="0" xfId="0" applyFont="1" applyFill="1" applyAlignment="1">
      <alignment horizontal="right"/>
    </xf>
    <xf numFmtId="2" fontId="9" fillId="0" borderId="0" xfId="0" applyNumberFormat="1" applyFont="1" applyFill="1"/>
    <xf numFmtId="0" fontId="9" fillId="0" borderId="3" xfId="0" applyFont="1" applyFill="1" applyBorder="1"/>
    <xf numFmtId="165" fontId="9" fillId="0" borderId="3" xfId="0" applyNumberFormat="1" applyFont="1" applyFill="1" applyBorder="1"/>
    <xf numFmtId="0" fontId="9" fillId="0" borderId="3" xfId="0" applyFont="1" applyFill="1" applyBorder="1" applyAlignment="1">
      <alignment horizontal="right"/>
    </xf>
    <xf numFmtId="2" fontId="9" fillId="0" borderId="3" xfId="0" applyNumberFormat="1" applyFont="1" applyFill="1" applyBorder="1"/>
    <xf numFmtId="0" fontId="9" fillId="0" borderId="3" xfId="0" applyFont="1" applyFill="1" applyBorder="1" applyAlignment="1">
      <alignment horizontal="center"/>
    </xf>
    <xf numFmtId="10" fontId="9" fillId="0" borderId="3" xfId="0" applyNumberFormat="1" applyFont="1" applyFill="1" applyBorder="1" applyAlignment="1">
      <alignment horizontal="right"/>
    </xf>
    <xf numFmtId="0" fontId="9" fillId="0" borderId="3" xfId="0" applyFont="1" applyFill="1" applyBorder="1" applyAlignment="1">
      <alignment horizontal="left"/>
    </xf>
    <xf numFmtId="165" fontId="9" fillId="0" borderId="3" xfId="0" applyNumberFormat="1" applyFont="1" applyFill="1" applyBorder="1" applyAlignment="1">
      <alignment horizontal="left"/>
    </xf>
    <xf numFmtId="0" fontId="12" fillId="0" borderId="3" xfId="0" applyFont="1" applyFill="1" applyBorder="1" applyAlignment="1">
      <alignment horizontal="center"/>
    </xf>
    <xf numFmtId="0" fontId="12" fillId="0" borderId="3" xfId="0" applyFont="1" applyFill="1" applyBorder="1"/>
    <xf numFmtId="165" fontId="12" fillId="0" borderId="3" xfId="0" applyNumberFormat="1" applyFont="1" applyFill="1" applyBorder="1"/>
    <xf numFmtId="0" fontId="12" fillId="0" borderId="3" xfId="0" applyFont="1" applyFill="1" applyBorder="1" applyAlignment="1">
      <alignment horizontal="right"/>
    </xf>
    <xf numFmtId="2" fontId="12" fillId="0" borderId="3" xfId="0" applyNumberFormat="1" applyFont="1" applyFill="1" applyBorder="1"/>
    <xf numFmtId="10" fontId="12" fillId="0" borderId="3" xfId="0" applyNumberFormat="1" applyFont="1" applyFill="1" applyBorder="1" applyAlignment="1">
      <alignment horizontal="right"/>
    </xf>
    <xf numFmtId="0" fontId="9" fillId="0" borderId="3" xfId="0" applyFont="1" applyFill="1" applyBorder="1" applyAlignment="1"/>
    <xf numFmtId="2" fontId="9" fillId="0" borderId="3" xfId="0" applyNumberFormat="1" applyFont="1" applyFill="1" applyBorder="1" applyAlignment="1">
      <alignment horizontal="right"/>
    </xf>
    <xf numFmtId="4" fontId="9" fillId="0" borderId="3" xfId="0" applyNumberFormat="1" applyFont="1" applyFill="1" applyBorder="1" applyAlignment="1">
      <alignment horizontal="right"/>
    </xf>
    <xf numFmtId="2" fontId="12" fillId="0" borderId="3" xfId="0" applyNumberFormat="1" applyFont="1" applyFill="1" applyBorder="1" applyAlignment="1">
      <alignment horizontal="right"/>
    </xf>
    <xf numFmtId="165" fontId="12" fillId="0" borderId="11" xfId="0" applyNumberFormat="1" applyFont="1" applyFill="1" applyBorder="1"/>
    <xf numFmtId="165" fontId="9" fillId="0" borderId="10" xfId="0" applyNumberFormat="1" applyFont="1" applyFill="1" applyBorder="1"/>
    <xf numFmtId="10" fontId="9" fillId="0" borderId="9" xfId="0" applyNumberFormat="1" applyFont="1" applyFill="1" applyBorder="1" applyAlignment="1"/>
    <xf numFmtId="2" fontId="9" fillId="0" borderId="11" xfId="0" applyNumberFormat="1" applyFont="1" applyFill="1" applyBorder="1" applyAlignment="1"/>
    <xf numFmtId="4" fontId="9" fillId="0" borderId="9" xfId="0" applyNumberFormat="1" applyFont="1" applyFill="1" applyBorder="1" applyAlignment="1"/>
    <xf numFmtId="165" fontId="9" fillId="0" borderId="0" xfId="0" applyNumberFormat="1" applyFont="1" applyFill="1" applyBorder="1"/>
    <xf numFmtId="4" fontId="9" fillId="0" borderId="0" xfId="0" applyNumberFormat="1" applyFont="1" applyFill="1" applyBorder="1" applyAlignment="1"/>
    <xf numFmtId="10" fontId="9" fillId="0" borderId="10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center"/>
    </xf>
    <xf numFmtId="2" fontId="14" fillId="0" borderId="3" xfId="0" applyNumberFormat="1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10" fontId="9" fillId="0" borderId="3" xfId="0" applyNumberFormat="1" applyFont="1" applyFill="1" applyBorder="1"/>
    <xf numFmtId="10" fontId="12" fillId="0" borderId="3" xfId="0" applyNumberFormat="1" applyFont="1" applyFill="1" applyBorder="1"/>
    <xf numFmtId="4" fontId="9" fillId="0" borderId="3" xfId="0" applyNumberFormat="1" applyFont="1" applyFill="1" applyBorder="1" applyAlignment="1">
      <alignment horizontal="left"/>
    </xf>
    <xf numFmtId="0" fontId="9" fillId="0" borderId="11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10" fontId="9" fillId="0" borderId="9" xfId="0" applyNumberFormat="1" applyFont="1" applyFill="1" applyBorder="1" applyAlignment="1">
      <alignment horizontal="left"/>
    </xf>
    <xf numFmtId="0" fontId="9" fillId="0" borderId="11" xfId="0" applyFont="1" applyFill="1" applyBorder="1"/>
    <xf numFmtId="4" fontId="9" fillId="0" borderId="9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left"/>
    </xf>
    <xf numFmtId="4" fontId="9" fillId="0" borderId="3" xfId="0" applyNumberFormat="1" applyFont="1" applyFill="1" applyBorder="1"/>
    <xf numFmtId="2" fontId="4" fillId="0" borderId="0" xfId="0" applyNumberFormat="1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9" fillId="0" borderId="0" xfId="0" applyFont="1" applyFill="1" applyAlignment="1">
      <alignment horizontal="left"/>
    </xf>
    <xf numFmtId="0" fontId="12" fillId="0" borderId="3" xfId="0" applyFont="1" applyFill="1" applyBorder="1" applyAlignment="1">
      <alignment horizontal="left"/>
    </xf>
    <xf numFmtId="2" fontId="9" fillId="0" borderId="0" xfId="0" applyNumberFormat="1" applyFont="1" applyFill="1" applyAlignment="1">
      <alignment horizontal="left"/>
    </xf>
    <xf numFmtId="2" fontId="12" fillId="0" borderId="10" xfId="0" applyNumberFormat="1" applyFont="1" applyFill="1" applyBorder="1"/>
    <xf numFmtId="165" fontId="9" fillId="0" borderId="10" xfId="0" applyNumberFormat="1" applyFont="1" applyFill="1" applyBorder="1" applyAlignment="1">
      <alignment horizontal="left"/>
    </xf>
    <xf numFmtId="10" fontId="9" fillId="0" borderId="9" xfId="0" applyNumberFormat="1" applyFont="1" applyFill="1" applyBorder="1" applyAlignment="1">
      <alignment horizontal="right"/>
    </xf>
    <xf numFmtId="2" fontId="9" fillId="0" borderId="11" xfId="0" applyNumberFormat="1" applyFont="1" applyFill="1" applyBorder="1"/>
    <xf numFmtId="4" fontId="9" fillId="0" borderId="9" xfId="0" applyNumberFormat="1" applyFont="1" applyFill="1" applyBorder="1" applyAlignment="1">
      <alignment horizontal="right"/>
    </xf>
    <xf numFmtId="165" fontId="9" fillId="0" borderId="0" xfId="0" applyNumberFormat="1" applyFont="1" applyFill="1" applyBorder="1" applyAlignment="1">
      <alignment horizontal="left"/>
    </xf>
    <xf numFmtId="4" fontId="9" fillId="0" borderId="0" xfId="0" applyNumberFormat="1" applyFont="1" applyFill="1" applyBorder="1" applyAlignment="1">
      <alignment horizontal="right"/>
    </xf>
    <xf numFmtId="4" fontId="12" fillId="0" borderId="3" xfId="0" applyNumberFormat="1" applyFont="1" applyFill="1" applyBorder="1"/>
    <xf numFmtId="1" fontId="9" fillId="0" borderId="0" xfId="0" applyNumberFormat="1" applyFont="1" applyFill="1"/>
    <xf numFmtId="165" fontId="9" fillId="0" borderId="0" xfId="0" applyNumberFormat="1" applyFont="1" applyFill="1" applyAlignment="1">
      <alignment horizontal="center"/>
    </xf>
    <xf numFmtId="165" fontId="9" fillId="0" borderId="3" xfId="0" applyNumberFormat="1" applyFont="1" applyFill="1" applyBorder="1" applyAlignment="1">
      <alignment horizontal="center"/>
    </xf>
    <xf numFmtId="10" fontId="9" fillId="0" borderId="3" xfId="0" applyNumberFormat="1" applyFont="1" applyFill="1" applyBorder="1" applyAlignment="1">
      <alignment horizontal="center"/>
    </xf>
    <xf numFmtId="165" fontId="12" fillId="0" borderId="3" xfId="0" applyNumberFormat="1" applyFont="1" applyFill="1" applyBorder="1" applyAlignment="1">
      <alignment horizontal="center"/>
    </xf>
    <xf numFmtId="10" fontId="12" fillId="0" borderId="3" xfId="0" applyNumberFormat="1" applyFont="1" applyFill="1" applyBorder="1" applyAlignment="1">
      <alignment horizontal="center"/>
    </xf>
    <xf numFmtId="165" fontId="12" fillId="0" borderId="0" xfId="0" applyNumberFormat="1" applyFont="1" applyFill="1" applyBorder="1" applyAlignment="1">
      <alignment horizontal="center"/>
    </xf>
    <xf numFmtId="2" fontId="9" fillId="0" borderId="3" xfId="0" applyNumberFormat="1" applyFont="1" applyFill="1" applyBorder="1" applyAlignment="1">
      <alignment horizontal="center"/>
    </xf>
    <xf numFmtId="2" fontId="12" fillId="0" borderId="3" xfId="0" applyNumberFormat="1" applyFont="1" applyFill="1" applyBorder="1" applyAlignment="1">
      <alignment horizontal="center"/>
    </xf>
    <xf numFmtId="165" fontId="9" fillId="0" borderId="10" xfId="0" applyNumberFormat="1" applyFont="1" applyFill="1" applyBorder="1" applyAlignment="1">
      <alignment horizontal="center"/>
    </xf>
    <xf numFmtId="2" fontId="9" fillId="0" borderId="11" xfId="0" applyNumberFormat="1" applyFont="1" applyFill="1" applyBorder="1" applyAlignment="1">
      <alignment horizontal="center"/>
    </xf>
    <xf numFmtId="165" fontId="9" fillId="0" borderId="0" xfId="0" applyNumberFormat="1" applyFont="1" applyFill="1" applyBorder="1" applyAlignment="1">
      <alignment horizontal="center"/>
    </xf>
    <xf numFmtId="165" fontId="9" fillId="0" borderId="11" xfId="0" applyNumberFormat="1" applyFont="1" applyFill="1" applyBorder="1" applyAlignment="1">
      <alignment horizontal="center"/>
    </xf>
    <xf numFmtId="10" fontId="9" fillId="0" borderId="9" xfId="0" applyNumberFormat="1" applyFont="1" applyFill="1" applyBorder="1" applyAlignment="1">
      <alignment horizontal="center"/>
    </xf>
    <xf numFmtId="2" fontId="9" fillId="0" borderId="9" xfId="0" applyNumberFormat="1" applyFont="1" applyFill="1" applyBorder="1" applyAlignment="1">
      <alignment horizontal="center"/>
    </xf>
    <xf numFmtId="4" fontId="9" fillId="0" borderId="9" xfId="0" applyNumberFormat="1" applyFont="1" applyFill="1" applyBorder="1" applyAlignment="1">
      <alignment horizontal="center"/>
    </xf>
    <xf numFmtId="4" fontId="9" fillId="0" borderId="0" xfId="0" applyNumberFormat="1" applyFont="1" applyFill="1" applyBorder="1" applyAlignment="1">
      <alignment horizontal="center"/>
    </xf>
    <xf numFmtId="4" fontId="12" fillId="0" borderId="3" xfId="0" applyNumberFormat="1" applyFont="1" applyFill="1" applyBorder="1" applyAlignment="1">
      <alignment horizontal="center"/>
    </xf>
    <xf numFmtId="0" fontId="12" fillId="0" borderId="10" xfId="0" applyFont="1" applyFill="1" applyBorder="1" applyAlignment="1">
      <alignment horizontal="center"/>
    </xf>
    <xf numFmtId="10" fontId="9" fillId="0" borderId="0" xfId="0" applyNumberFormat="1" applyFont="1" applyFill="1"/>
    <xf numFmtId="2" fontId="9" fillId="0" borderId="0" xfId="0" applyNumberFormat="1" applyFont="1" applyFill="1" applyAlignment="1"/>
    <xf numFmtId="0" fontId="14" fillId="0" borderId="0" xfId="0" applyFont="1" applyFill="1" applyAlignment="1">
      <alignment horizontal="center" vertical="center" wrapText="1"/>
    </xf>
    <xf numFmtId="2" fontId="9" fillId="0" borderId="3" xfId="0" applyNumberFormat="1" applyFont="1" applyFill="1" applyBorder="1" applyAlignment="1"/>
    <xf numFmtId="2" fontId="12" fillId="0" borderId="3" xfId="0" applyNumberFormat="1" applyFont="1" applyFill="1" applyBorder="1" applyAlignment="1"/>
    <xf numFmtId="0" fontId="12" fillId="0" borderId="0" xfId="0" applyFont="1" applyFill="1" applyBorder="1"/>
    <xf numFmtId="0" fontId="12" fillId="0" borderId="0" xfId="0" applyFont="1" applyFill="1" applyAlignment="1">
      <alignment horizontal="center"/>
    </xf>
    <xf numFmtId="4" fontId="9" fillId="0" borderId="3" xfId="0" applyNumberFormat="1" applyFont="1" applyFill="1" applyBorder="1" applyAlignment="1">
      <alignment horizontal="center"/>
    </xf>
    <xf numFmtId="0" fontId="2" fillId="0" borderId="0" xfId="0" applyNumberFormat="1" applyFont="1" applyAlignment="1">
      <alignment vertical="center" wrapText="1"/>
    </xf>
    <xf numFmtId="2" fontId="11" fillId="0" borderId="3" xfId="0" applyNumberFormat="1" applyFont="1" applyBorder="1" applyAlignment="1">
      <alignment vertical="center" wrapText="1"/>
    </xf>
    <xf numFmtId="2" fontId="11" fillId="0" borderId="3" xfId="0" applyNumberFormat="1" applyFont="1" applyBorder="1" applyAlignment="1">
      <alignment vertical="center"/>
    </xf>
    <xf numFmtId="2" fontId="11" fillId="0" borderId="10" xfId="0" applyNumberFormat="1" applyFont="1" applyBorder="1" applyAlignment="1">
      <alignment vertical="center"/>
    </xf>
    <xf numFmtId="0" fontId="2" fillId="0" borderId="3" xfId="0" applyFont="1" applyBorder="1" applyAlignment="1">
      <alignment horizontal="left" vertical="center" wrapText="1"/>
    </xf>
    <xf numFmtId="2" fontId="2" fillId="0" borderId="3" xfId="0" applyNumberFormat="1" applyFont="1" applyBorder="1" applyAlignment="1">
      <alignment vertical="center" wrapText="1"/>
    </xf>
    <xf numFmtId="0" fontId="2" fillId="0" borderId="3" xfId="0" applyFont="1" applyBorder="1" applyAlignment="1">
      <alignment horizontal="right" vertical="center" wrapText="1"/>
    </xf>
    <xf numFmtId="2" fontId="2" fillId="0" borderId="3" xfId="0" applyNumberFormat="1" applyFont="1" applyBorder="1" applyAlignment="1">
      <alignment horizontal="right" vertical="center" wrapText="1"/>
    </xf>
    <xf numFmtId="2" fontId="9" fillId="0" borderId="0" xfId="0" applyNumberFormat="1" applyFont="1" applyFill="1" applyAlignment="1">
      <alignment horizontal="center"/>
    </xf>
    <xf numFmtId="0" fontId="9" fillId="0" borderId="11" xfId="0" applyFont="1" applyFill="1" applyBorder="1" applyAlignment="1"/>
    <xf numFmtId="0" fontId="9" fillId="0" borderId="10" xfId="0" applyFont="1" applyFill="1" applyBorder="1"/>
    <xf numFmtId="2" fontId="9" fillId="0" borderId="21" xfId="0" applyNumberFormat="1" applyFont="1" applyFill="1" applyBorder="1" applyAlignment="1">
      <alignment horizontal="left"/>
    </xf>
    <xf numFmtId="0" fontId="9" fillId="0" borderId="0" xfId="0" applyFont="1" applyFill="1" applyBorder="1"/>
    <xf numFmtId="0" fontId="14" fillId="0" borderId="3" xfId="0" applyNumberFormat="1" applyFont="1" applyFill="1" applyBorder="1" applyAlignment="1">
      <alignment horizontal="center" vertical="center" wrapText="1"/>
    </xf>
    <xf numFmtId="2" fontId="9" fillId="0" borderId="10" xfId="0" applyNumberFormat="1" applyFont="1" applyFill="1" applyBorder="1"/>
    <xf numFmtId="10" fontId="9" fillId="0" borderId="10" xfId="0" applyNumberFormat="1" applyFont="1" applyFill="1" applyBorder="1" applyAlignment="1">
      <alignment horizontal="left"/>
    </xf>
    <xf numFmtId="4" fontId="9" fillId="0" borderId="11" xfId="0" applyNumberFormat="1" applyFont="1" applyFill="1" applyBorder="1" applyAlignment="1"/>
    <xf numFmtId="10" fontId="9" fillId="0" borderId="10" xfId="0" applyNumberFormat="1" applyFont="1" applyFill="1" applyBorder="1" applyAlignment="1">
      <alignment horizontal="center"/>
    </xf>
    <xf numFmtId="4" fontId="9" fillId="0" borderId="10" xfId="0" applyNumberFormat="1" applyFont="1" applyFill="1" applyBorder="1" applyAlignment="1">
      <alignment horizontal="center"/>
    </xf>
    <xf numFmtId="4" fontId="12" fillId="0" borderId="3" xfId="0" applyNumberFormat="1" applyFont="1" applyFill="1" applyBorder="1" applyAlignment="1"/>
    <xf numFmtId="2" fontId="2" fillId="0" borderId="3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right" vertical="center" wrapText="1"/>
    </xf>
    <xf numFmtId="2" fontId="14" fillId="0" borderId="3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right" vertical="center" wrapText="1"/>
    </xf>
    <xf numFmtId="10" fontId="2" fillId="0" borderId="3" xfId="0" applyNumberFormat="1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167" fontId="2" fillId="0" borderId="3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left" vertical="center" wrapText="1"/>
    </xf>
    <xf numFmtId="4" fontId="2" fillId="0" borderId="3" xfId="0" applyNumberFormat="1" applyFont="1" applyFill="1" applyBorder="1" applyAlignment="1">
      <alignment horizontal="left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167" fontId="2" fillId="0" borderId="9" xfId="0" applyNumberFormat="1" applyFont="1" applyFill="1" applyBorder="1" applyAlignment="1">
      <alignment horizontal="right" vertical="center" wrapText="1"/>
    </xf>
    <xf numFmtId="10" fontId="2" fillId="0" borderId="9" xfId="0" applyNumberFormat="1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right" vertical="center" wrapText="1"/>
    </xf>
    <xf numFmtId="2" fontId="14" fillId="0" borderId="3" xfId="0" applyNumberFormat="1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14" fillId="0" borderId="11" xfId="0" applyFont="1" applyFill="1" applyBorder="1" applyAlignment="1">
      <alignment horizontal="left" vertical="center" wrapText="1"/>
    </xf>
    <xf numFmtId="10" fontId="2" fillId="0" borderId="10" xfId="0" applyNumberFormat="1" applyFont="1" applyFill="1" applyBorder="1" applyAlignment="1">
      <alignment horizontal="center" vertical="center" wrapText="1"/>
    </xf>
    <xf numFmtId="10" fontId="2" fillId="0" borderId="11" xfId="0" applyNumberFormat="1" applyFont="1" applyFill="1" applyBorder="1" applyAlignment="1">
      <alignment horizontal="center" vertical="center" wrapText="1"/>
    </xf>
    <xf numFmtId="10" fontId="14" fillId="0" borderId="3" xfId="0" applyNumberFormat="1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164" fontId="14" fillId="0" borderId="3" xfId="0" applyNumberFormat="1" applyFont="1" applyFill="1" applyBorder="1" applyAlignment="1">
      <alignment horizontal="right" vertical="center" wrapText="1"/>
    </xf>
    <xf numFmtId="2" fontId="14" fillId="0" borderId="0" xfId="0" applyNumberFormat="1" applyFont="1" applyFill="1" applyBorder="1" applyAlignment="1">
      <alignment horizontal="right" vertical="center" wrapText="1"/>
    </xf>
    <xf numFmtId="2" fontId="9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center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vertical="center"/>
    </xf>
    <xf numFmtId="10" fontId="2" fillId="0" borderId="0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2" fontId="2" fillId="0" borderId="0" xfId="0" applyNumberFormat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2" fontId="11" fillId="0" borderId="10" xfId="0" applyNumberFormat="1" applyFont="1" applyBorder="1" applyAlignment="1">
      <alignment horizontal="right" vertical="center" wrapText="1"/>
    </xf>
    <xf numFmtId="2" fontId="11" fillId="0" borderId="0" xfId="0" applyNumberFormat="1" applyFont="1" applyBorder="1" applyAlignment="1">
      <alignment horizontal="right" vertical="center" wrapText="1"/>
    </xf>
    <xf numFmtId="0" fontId="12" fillId="0" borderId="11" xfId="0" applyFont="1" applyFill="1" applyBorder="1"/>
    <xf numFmtId="2" fontId="12" fillId="0" borderId="10" xfId="0" applyNumberFormat="1" applyFont="1" applyFill="1" applyBorder="1" applyAlignment="1">
      <alignment horizontal="center"/>
    </xf>
    <xf numFmtId="167" fontId="9" fillId="0" borderId="10" xfId="0" applyNumberFormat="1" applyFont="1" applyFill="1" applyBorder="1" applyAlignment="1">
      <alignment horizontal="left"/>
    </xf>
    <xf numFmtId="167" fontId="9" fillId="0" borderId="0" xfId="0" applyNumberFormat="1" applyFont="1" applyFill="1" applyBorder="1" applyAlignment="1">
      <alignment horizontal="left"/>
    </xf>
    <xf numFmtId="164" fontId="3" fillId="2" borderId="5" xfId="0" applyNumberFormat="1" applyFont="1" applyFill="1" applyBorder="1" applyAlignment="1">
      <alignment horizontal="righ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0" fillId="0" borderId="0" xfId="0" applyBorder="1"/>
    <xf numFmtId="0" fontId="9" fillId="0" borderId="0" xfId="0" applyFont="1" applyFill="1" applyBorder="1" applyAlignment="1">
      <alignment horizontal="left" vertical="center"/>
    </xf>
    <xf numFmtId="0" fontId="14" fillId="0" borderId="3" xfId="0" applyFont="1" applyFill="1" applyBorder="1" applyAlignment="1">
      <alignment horizontal="center" vertical="center" wrapText="1"/>
    </xf>
    <xf numFmtId="2" fontId="14" fillId="0" borderId="3" xfId="0" applyNumberFormat="1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10" fontId="11" fillId="0" borderId="9" xfId="0" applyNumberFormat="1" applyFont="1" applyFill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right" vertical="center" wrapText="1"/>
    </xf>
    <xf numFmtId="2" fontId="16" fillId="0" borderId="3" xfId="0" applyNumberFormat="1" applyFont="1" applyFill="1" applyBorder="1" applyAlignment="1">
      <alignment horizontal="right" vertical="center" wrapText="1"/>
    </xf>
    <xf numFmtId="167" fontId="11" fillId="0" borderId="9" xfId="0" applyNumberFormat="1" applyFont="1" applyFill="1" applyBorder="1" applyAlignment="1">
      <alignment horizontal="right" vertical="center" wrapText="1"/>
    </xf>
    <xf numFmtId="2" fontId="11" fillId="0" borderId="9" xfId="0" applyNumberFormat="1" applyFont="1" applyFill="1" applyBorder="1" applyAlignment="1">
      <alignment horizontal="center" vertical="center" wrapText="1"/>
    </xf>
    <xf numFmtId="2" fontId="11" fillId="0" borderId="10" xfId="0" applyNumberFormat="1" applyFont="1" applyFill="1" applyBorder="1" applyAlignment="1">
      <alignment vertical="center" wrapText="1"/>
    </xf>
    <xf numFmtId="2" fontId="5" fillId="0" borderId="10" xfId="0" applyNumberFormat="1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166" fontId="9" fillId="0" borderId="6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right" vertical="center" wrapText="1"/>
    </xf>
    <xf numFmtId="0" fontId="9" fillId="0" borderId="24" xfId="0" applyFont="1" applyFill="1" applyBorder="1" applyAlignment="1">
      <alignment horizontal="center" vertical="center" wrapText="1"/>
    </xf>
    <xf numFmtId="166" fontId="9" fillId="0" borderId="0" xfId="0" applyNumberFormat="1" applyFont="1" applyFill="1" applyBorder="1" applyAlignment="1">
      <alignment horizontal="center" vertical="center" wrapText="1"/>
    </xf>
    <xf numFmtId="0" fontId="9" fillId="0" borderId="25" xfId="0" applyFont="1" applyFill="1" applyBorder="1" applyAlignment="1">
      <alignment horizontal="center" vertical="center" wrapText="1"/>
    </xf>
    <xf numFmtId="0" fontId="12" fillId="0" borderId="25" xfId="0" applyFont="1" applyFill="1" applyBorder="1" applyAlignment="1">
      <alignment horizontal="center" vertical="center" wrapText="1"/>
    </xf>
    <xf numFmtId="167" fontId="2" fillId="0" borderId="0" xfId="0" applyNumberFormat="1" applyFont="1" applyFill="1" applyBorder="1" applyAlignment="1">
      <alignment horizontal="right" vertical="center" wrapText="1"/>
    </xf>
    <xf numFmtId="2" fontId="15" fillId="0" borderId="0" xfId="0" applyNumberFormat="1" applyFont="1" applyFill="1" applyBorder="1" applyAlignment="1">
      <alignment vertical="center" wrapText="1"/>
    </xf>
    <xf numFmtId="0" fontId="15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2" fontId="0" fillId="0" borderId="0" xfId="0" applyNumberFormat="1" applyAlignment="1">
      <alignment horizontal="center" vertical="center" wrapText="1"/>
    </xf>
    <xf numFmtId="2" fontId="11" fillId="0" borderId="9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" fontId="0" fillId="0" borderId="0" xfId="0" applyNumberFormat="1"/>
    <xf numFmtId="1" fontId="2" fillId="0" borderId="0" xfId="0" applyNumberFormat="1" applyFont="1" applyAlignment="1">
      <alignment horizontal="center" vertical="center" wrapText="1"/>
    </xf>
    <xf numFmtId="2" fontId="9" fillId="0" borderId="3" xfId="0" applyNumberFormat="1" applyFont="1" applyFill="1" applyBorder="1" applyAlignment="1">
      <alignment horizontal="center" vertical="center"/>
    </xf>
    <xf numFmtId="2" fontId="1" fillId="0" borderId="11" xfId="0" applyNumberFormat="1" applyFont="1" applyFill="1" applyBorder="1"/>
    <xf numFmtId="4" fontId="2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horizontal="right" vertical="center" wrapText="1"/>
    </xf>
    <xf numFmtId="0" fontId="0" fillId="2" borderId="0" xfId="0" applyFill="1"/>
    <xf numFmtId="0" fontId="9" fillId="0" borderId="10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/>
    </xf>
    <xf numFmtId="0" fontId="9" fillId="0" borderId="3" xfId="0" applyFont="1" applyFill="1" applyBorder="1" applyAlignment="1">
      <alignment horizontal="left"/>
    </xf>
    <xf numFmtId="2" fontId="9" fillId="0" borderId="10" xfId="0" applyNumberFormat="1" applyFont="1" applyFill="1" applyBorder="1" applyAlignment="1">
      <alignment horizontal="left"/>
    </xf>
    <xf numFmtId="0" fontId="12" fillId="0" borderId="10" xfId="0" applyFont="1" applyFill="1" applyBorder="1" applyAlignment="1">
      <alignment horizontal="left"/>
    </xf>
    <xf numFmtId="0" fontId="12" fillId="0" borderId="11" xfId="0" applyFont="1" applyFill="1" applyBorder="1" applyAlignment="1">
      <alignment horizontal="left"/>
    </xf>
    <xf numFmtId="2" fontId="9" fillId="0" borderId="11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2" fillId="0" borderId="10" xfId="0" applyFont="1" applyFill="1" applyBorder="1" applyAlignment="1">
      <alignment horizontal="left" wrapText="1"/>
    </xf>
    <xf numFmtId="0" fontId="12" fillId="0" borderId="9" xfId="0" applyFont="1" applyFill="1" applyBorder="1" applyAlignment="1">
      <alignment horizontal="left" wrapText="1"/>
    </xf>
    <xf numFmtId="0" fontId="12" fillId="0" borderId="11" xfId="0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7" fillId="0" borderId="0" xfId="0" applyFont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/>
    </xf>
    <xf numFmtId="2" fontId="9" fillId="0" borderId="0" xfId="0" applyNumberFormat="1" applyFont="1" applyFill="1" applyAlignment="1">
      <alignment horizontal="left" vertical="center"/>
    </xf>
    <xf numFmtId="0" fontId="11" fillId="0" borderId="0" xfId="0" applyFont="1" applyFill="1" applyAlignment="1">
      <alignment horizontal="left" vertical="center"/>
    </xf>
    <xf numFmtId="0" fontId="9" fillId="0" borderId="12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12" fillId="0" borderId="0" xfId="0" applyFont="1" applyFill="1" applyAlignment="1">
      <alignment horizontal="right" vertical="center" wrapText="1"/>
    </xf>
    <xf numFmtId="0" fontId="0" fillId="0" borderId="0" xfId="0" applyAlignment="1">
      <alignment horizontal="right" vertical="center" wrapText="1"/>
    </xf>
    <xf numFmtId="0" fontId="9" fillId="0" borderId="0" xfId="0" applyFont="1" applyFill="1" applyAlignment="1">
      <alignment horizontal="right"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left" vertical="center"/>
    </xf>
    <xf numFmtId="0" fontId="12" fillId="0" borderId="11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left" vertical="center"/>
    </xf>
    <xf numFmtId="0" fontId="9" fillId="0" borderId="11" xfId="0" applyFont="1" applyFill="1" applyBorder="1" applyAlignment="1">
      <alignment horizontal="left" vertical="center"/>
    </xf>
    <xf numFmtId="2" fontId="9" fillId="0" borderId="10" xfId="0" applyNumberFormat="1" applyFont="1" applyFill="1" applyBorder="1" applyAlignment="1">
      <alignment horizontal="left" vertical="center"/>
    </xf>
    <xf numFmtId="2" fontId="9" fillId="0" borderId="11" xfId="0" applyNumberFormat="1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12" fillId="0" borderId="7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center" vertical="center"/>
    </xf>
    <xf numFmtId="0" fontId="12" fillId="0" borderId="19" xfId="0" applyFont="1" applyFill="1" applyBorder="1" applyAlignment="1">
      <alignment horizontal="center" vertical="center"/>
    </xf>
    <xf numFmtId="0" fontId="12" fillId="0" borderId="20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21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11" fillId="0" borderId="0" xfId="0" applyFont="1" applyFill="1" applyAlignment="1">
      <alignment horizontal="center" vertical="center"/>
    </xf>
    <xf numFmtId="0" fontId="11" fillId="0" borderId="2" xfId="0" applyFont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9" fillId="0" borderId="10" xfId="0" applyFont="1" applyFill="1" applyBorder="1" applyAlignment="1">
      <alignment horizontal="left"/>
    </xf>
    <xf numFmtId="0" fontId="9" fillId="0" borderId="9" xfId="0" applyFont="1" applyFill="1" applyBorder="1" applyAlignment="1">
      <alignment horizontal="left"/>
    </xf>
    <xf numFmtId="0" fontId="9" fillId="0" borderId="11" xfId="0" applyFont="1" applyFill="1" applyBorder="1" applyAlignment="1">
      <alignment horizontal="left"/>
    </xf>
    <xf numFmtId="2" fontId="9" fillId="0" borderId="10" xfId="0" applyNumberFormat="1" applyFont="1" applyFill="1" applyBorder="1" applyAlignment="1">
      <alignment horizontal="left"/>
    </xf>
    <xf numFmtId="0" fontId="14" fillId="0" borderId="7" xfId="0" applyFont="1" applyFill="1" applyBorder="1" applyAlignment="1">
      <alignment horizontal="center" vertical="center" wrapText="1"/>
    </xf>
    <xf numFmtId="0" fontId="14" fillId="0" borderId="6" xfId="0" applyFont="1" applyFill="1" applyBorder="1" applyAlignment="1">
      <alignment horizontal="center" vertical="center" wrapText="1"/>
    </xf>
    <xf numFmtId="0" fontId="14" fillId="0" borderId="19" xfId="0" applyFont="1" applyFill="1" applyBorder="1" applyAlignment="1">
      <alignment horizontal="center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0" fontId="14" fillId="0" borderId="6" xfId="0" applyFont="1" applyFill="1" applyBorder="1" applyAlignment="1">
      <alignment horizontal="center" vertical="center"/>
    </xf>
    <xf numFmtId="0" fontId="14" fillId="0" borderId="19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/>
    </xf>
    <xf numFmtId="0" fontId="14" fillId="0" borderId="21" xfId="0" applyFont="1" applyFill="1" applyBorder="1" applyAlignment="1">
      <alignment horizontal="center" vertical="center"/>
    </xf>
    <xf numFmtId="0" fontId="14" fillId="0" borderId="3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4" fontId="9" fillId="0" borderId="10" xfId="0" applyNumberFormat="1" applyFont="1" applyFill="1" applyBorder="1" applyAlignment="1">
      <alignment horizontal="left"/>
    </xf>
    <xf numFmtId="4" fontId="9" fillId="0" borderId="11" xfId="0" applyNumberFormat="1" applyFont="1" applyFill="1" applyBorder="1" applyAlignment="1">
      <alignment horizontal="left"/>
    </xf>
    <xf numFmtId="0" fontId="9" fillId="0" borderId="0" xfId="0" applyFont="1" applyFill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2" fontId="14" fillId="0" borderId="2" xfId="0" applyNumberFormat="1" applyFont="1" applyFill="1" applyBorder="1" applyAlignment="1">
      <alignment horizontal="center" vertical="center" wrapText="1"/>
    </xf>
    <xf numFmtId="2" fontId="14" fillId="0" borderId="4" xfId="0" applyNumberFormat="1" applyFont="1" applyFill="1" applyBorder="1" applyAlignment="1">
      <alignment horizontal="center" vertical="center" wrapText="1"/>
    </xf>
    <xf numFmtId="2" fontId="14" fillId="0" borderId="7" xfId="0" applyNumberFormat="1" applyFont="1" applyFill="1" applyBorder="1" applyAlignment="1">
      <alignment horizontal="center" vertical="center" wrapText="1"/>
    </xf>
    <xf numFmtId="2" fontId="14" fillId="0" borderId="6" xfId="0" applyNumberFormat="1" applyFont="1" applyFill="1" applyBorder="1" applyAlignment="1">
      <alignment horizontal="center" vertical="center" wrapText="1"/>
    </xf>
    <xf numFmtId="2" fontId="14" fillId="0" borderId="19" xfId="0" applyNumberFormat="1" applyFont="1" applyFill="1" applyBorder="1" applyAlignment="1">
      <alignment horizontal="center" vertical="center" wrapText="1"/>
    </xf>
    <xf numFmtId="2" fontId="14" fillId="0" borderId="20" xfId="0" applyNumberFormat="1" applyFont="1" applyFill="1" applyBorder="1" applyAlignment="1">
      <alignment horizontal="center" vertical="center" wrapText="1"/>
    </xf>
    <xf numFmtId="2" fontId="14" fillId="0" borderId="1" xfId="0" applyNumberFormat="1" applyFont="1" applyFill="1" applyBorder="1" applyAlignment="1">
      <alignment horizontal="center" vertical="center" wrapText="1"/>
    </xf>
    <xf numFmtId="2" fontId="14" fillId="0" borderId="21" xfId="0" applyNumberFormat="1" applyFont="1" applyFill="1" applyBorder="1" applyAlignment="1">
      <alignment horizontal="center" vertical="center" wrapText="1"/>
    </xf>
    <xf numFmtId="2" fontId="2" fillId="0" borderId="2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2" fontId="14" fillId="0" borderId="3" xfId="0" applyNumberFormat="1" applyFont="1" applyFill="1" applyBorder="1" applyAlignment="1">
      <alignment horizontal="center" vertical="center" wrapText="1"/>
    </xf>
    <xf numFmtId="0" fontId="12" fillId="0" borderId="10" xfId="0" applyFont="1" applyFill="1" applyBorder="1" applyAlignment="1">
      <alignment horizontal="left"/>
    </xf>
    <xf numFmtId="0" fontId="12" fillId="0" borderId="11" xfId="0" applyFont="1" applyFill="1" applyBorder="1" applyAlignment="1">
      <alignment horizontal="left"/>
    </xf>
    <xf numFmtId="2" fontId="9" fillId="0" borderId="11" xfId="0" applyNumberFormat="1" applyFont="1" applyFill="1" applyBorder="1" applyAlignment="1">
      <alignment horizontal="left"/>
    </xf>
    <xf numFmtId="0" fontId="12" fillId="0" borderId="10" xfId="0" applyFont="1" applyFill="1" applyBorder="1" applyAlignment="1">
      <alignment horizontal="center"/>
    </xf>
    <xf numFmtId="0" fontId="12" fillId="0" borderId="11" xfId="0" applyFont="1" applyFill="1" applyBorder="1" applyAlignment="1">
      <alignment horizontal="center"/>
    </xf>
    <xf numFmtId="0" fontId="14" fillId="0" borderId="8" xfId="0" applyFont="1" applyFill="1" applyBorder="1" applyAlignment="1">
      <alignment horizontal="center" vertical="center" wrapText="1"/>
    </xf>
    <xf numFmtId="0" fontId="14" fillId="0" borderId="24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 vertical="center" wrapText="1"/>
    </xf>
    <xf numFmtId="0" fontId="14" fillId="0" borderId="2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center" vertical="center" wrapText="1"/>
    </xf>
    <xf numFmtId="0" fontId="14" fillId="0" borderId="10" xfId="0" applyFont="1" applyFill="1" applyBorder="1" applyAlignment="1">
      <alignment horizontal="left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left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10" fontId="14" fillId="0" borderId="10" xfId="0" applyNumberFormat="1" applyFont="1" applyFill="1" applyBorder="1" applyAlignment="1">
      <alignment horizontal="center" vertical="center" wrapText="1"/>
    </xf>
    <xf numFmtId="10" fontId="14" fillId="0" borderId="9" xfId="0" applyNumberFormat="1" applyFont="1" applyFill="1" applyBorder="1" applyAlignment="1">
      <alignment horizontal="center" vertical="center" wrapText="1"/>
    </xf>
    <xf numFmtId="10" fontId="14" fillId="0" borderId="11" xfId="0" applyNumberFormat="1" applyFont="1" applyFill="1" applyBorder="1" applyAlignment="1">
      <alignment horizontal="center" vertical="center" wrapText="1"/>
    </xf>
    <xf numFmtId="10" fontId="2" fillId="0" borderId="10" xfId="0" applyNumberFormat="1" applyFont="1" applyFill="1" applyBorder="1" applyAlignment="1">
      <alignment horizontal="center" vertical="center" wrapText="1"/>
    </xf>
    <xf numFmtId="10" fontId="2" fillId="0" borderId="9" xfId="0" applyNumberFormat="1" applyFont="1" applyFill="1" applyBorder="1" applyAlignment="1">
      <alignment horizontal="center" vertical="center" wrapText="1"/>
    </xf>
    <xf numFmtId="10" fontId="2" fillId="0" borderId="11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20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1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10" fontId="9" fillId="0" borderId="10" xfId="0" applyNumberFormat="1" applyFont="1" applyFill="1" applyBorder="1" applyAlignment="1">
      <alignment horizontal="left"/>
    </xf>
    <xf numFmtId="10" fontId="9" fillId="0" borderId="11" xfId="0" applyNumberFormat="1" applyFont="1" applyFill="1" applyBorder="1" applyAlignment="1">
      <alignment horizontal="left"/>
    </xf>
    <xf numFmtId="0" fontId="14" fillId="0" borderId="2" xfId="0" applyNumberFormat="1" applyFont="1" applyFill="1" applyBorder="1" applyAlignment="1">
      <alignment horizontal="center" vertical="center" wrapText="1"/>
    </xf>
    <xf numFmtId="0" fontId="14" fillId="0" borderId="4" xfId="0" applyNumberFormat="1" applyFont="1" applyFill="1" applyBorder="1" applyAlignment="1">
      <alignment horizontal="center" vertical="center" wrapText="1"/>
    </xf>
    <xf numFmtId="0" fontId="14" fillId="0" borderId="7" xfId="0" applyNumberFormat="1" applyFont="1" applyFill="1" applyBorder="1" applyAlignment="1">
      <alignment horizontal="center" vertical="center" wrapText="1"/>
    </xf>
    <xf numFmtId="0" fontId="14" fillId="0" borderId="6" xfId="0" applyNumberFormat="1" applyFont="1" applyFill="1" applyBorder="1" applyAlignment="1">
      <alignment horizontal="center" vertical="center" wrapText="1"/>
    </xf>
    <xf numFmtId="0" fontId="14" fillId="0" borderId="19" xfId="0" applyNumberFormat="1" applyFont="1" applyFill="1" applyBorder="1" applyAlignment="1">
      <alignment horizontal="center" vertical="center" wrapText="1"/>
    </xf>
    <xf numFmtId="0" fontId="14" fillId="0" borderId="20" xfId="0" applyNumberFormat="1" applyFont="1" applyFill="1" applyBorder="1" applyAlignment="1">
      <alignment horizontal="center" vertical="center" wrapText="1"/>
    </xf>
    <xf numFmtId="0" fontId="14" fillId="0" borderId="1" xfId="0" applyNumberFormat="1" applyFont="1" applyFill="1" applyBorder="1" applyAlignment="1">
      <alignment horizontal="center" vertical="center" wrapText="1"/>
    </xf>
    <xf numFmtId="0" fontId="14" fillId="0" borderId="2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14" fillId="0" borderId="3" xfId="0" applyNumberFormat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right" vertical="center" wrapText="1"/>
    </xf>
    <xf numFmtId="0" fontId="12" fillId="0" borderId="19" xfId="0" applyFont="1" applyFill="1" applyBorder="1" applyAlignment="1">
      <alignment horizontal="right" vertical="center" wrapText="1"/>
    </xf>
    <xf numFmtId="0" fontId="12" fillId="0" borderId="0" xfId="0" applyFont="1" applyFill="1" applyBorder="1" applyAlignment="1">
      <alignment horizontal="right" vertical="center" wrapText="1"/>
    </xf>
    <xf numFmtId="0" fontId="12" fillId="0" borderId="25" xfId="0" applyFont="1" applyFill="1" applyBorder="1" applyAlignment="1">
      <alignment horizontal="right" vertical="center" wrapText="1"/>
    </xf>
    <xf numFmtId="0" fontId="12" fillId="0" borderId="24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166" fontId="11" fillId="0" borderId="3" xfId="0" applyNumberFormat="1" applyFont="1" applyFill="1" applyBorder="1" applyAlignment="1">
      <alignment horizontal="center" vertical="center" wrapText="1"/>
    </xf>
    <xf numFmtId="2" fontId="11" fillId="0" borderId="10" xfId="0" applyNumberFormat="1" applyFont="1" applyFill="1" applyBorder="1" applyAlignment="1">
      <alignment horizontal="center" vertical="center" wrapText="1"/>
    </xf>
    <xf numFmtId="2" fontId="11" fillId="0" borderId="9" xfId="0" applyNumberFormat="1" applyFont="1" applyFill="1" applyBorder="1" applyAlignment="1">
      <alignment horizontal="center" vertical="center" wrapText="1"/>
    </xf>
    <xf numFmtId="2" fontId="11" fillId="0" borderId="11" xfId="0" applyNumberFormat="1" applyFont="1" applyFill="1" applyBorder="1" applyAlignment="1">
      <alignment horizontal="center" vertical="center" wrapText="1"/>
    </xf>
    <xf numFmtId="0" fontId="17" fillId="0" borderId="10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7" fillId="0" borderId="11" xfId="0" applyFont="1" applyFill="1" applyBorder="1" applyAlignment="1">
      <alignment horizontal="center" vertical="center" wrapText="1"/>
    </xf>
    <xf numFmtId="2" fontId="11" fillId="0" borderId="9" xfId="0" applyNumberFormat="1" applyFont="1" applyFill="1" applyBorder="1" applyAlignment="1">
      <alignment horizontal="left" vertical="center" wrapText="1"/>
    </xf>
    <xf numFmtId="2" fontId="11" fillId="0" borderId="11" xfId="0" applyNumberFormat="1" applyFont="1" applyFill="1" applyBorder="1" applyAlignment="1">
      <alignment horizontal="left" vertical="center" wrapText="1"/>
    </xf>
    <xf numFmtId="10" fontId="11" fillId="0" borderId="10" xfId="0" applyNumberFormat="1" applyFont="1" applyFill="1" applyBorder="1" applyAlignment="1">
      <alignment horizontal="center" vertical="center" wrapText="1"/>
    </xf>
    <xf numFmtId="10" fontId="11" fillId="0" borderId="9" xfId="0" applyNumberFormat="1" applyFont="1" applyFill="1" applyBorder="1" applyAlignment="1">
      <alignment horizontal="center" vertical="center" wrapText="1"/>
    </xf>
    <xf numFmtId="10" fontId="11" fillId="0" borderId="11" xfId="0" applyNumberFormat="1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 wrapText="1"/>
    </xf>
    <xf numFmtId="0" fontId="9" fillId="0" borderId="0" xfId="0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right" vertical="center" wrapText="1"/>
    </xf>
    <xf numFmtId="4" fontId="2" fillId="0" borderId="11" xfId="0" applyNumberFormat="1" applyFont="1" applyFill="1" applyBorder="1" applyAlignment="1">
      <alignment horizontal="right" vertical="center" wrapText="1"/>
    </xf>
    <xf numFmtId="0" fontId="11" fillId="0" borderId="0" xfId="0" applyFont="1" applyFill="1" applyAlignment="1">
      <alignment horizontal="center" vertical="top"/>
    </xf>
    <xf numFmtId="0" fontId="2" fillId="0" borderId="0" xfId="0" applyFont="1" applyFill="1" applyBorder="1" applyAlignment="1">
      <alignment horizontal="left" vertical="center" wrapText="1"/>
    </xf>
    <xf numFmtId="166" fontId="11" fillId="0" borderId="2" xfId="0" applyNumberFormat="1" applyFont="1" applyFill="1" applyBorder="1" applyAlignment="1">
      <alignment horizontal="center" vertical="center" wrapText="1"/>
    </xf>
    <xf numFmtId="166" fontId="11" fillId="0" borderId="8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2" fontId="9" fillId="0" borderId="0" xfId="0" applyNumberFormat="1" applyFont="1" applyFill="1" applyAlignment="1">
      <alignment horizontal="center" vertical="center"/>
    </xf>
    <xf numFmtId="0" fontId="5" fillId="0" borderId="10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2" fontId="14" fillId="0" borderId="2" xfId="0" applyNumberFormat="1" applyFont="1" applyFill="1" applyBorder="1" applyAlignment="1">
      <alignment horizontal="center" vertical="center"/>
    </xf>
    <xf numFmtId="2" fontId="14" fillId="0" borderId="4" xfId="0" applyNumberFormat="1" applyFont="1" applyFill="1" applyBorder="1" applyAlignment="1">
      <alignment horizontal="center" vertical="center"/>
    </xf>
    <xf numFmtId="2" fontId="14" fillId="0" borderId="7" xfId="0" applyNumberFormat="1" applyFont="1" applyFill="1" applyBorder="1" applyAlignment="1">
      <alignment horizontal="center" vertical="center"/>
    </xf>
    <xf numFmtId="2" fontId="14" fillId="0" borderId="6" xfId="0" applyNumberFormat="1" applyFont="1" applyFill="1" applyBorder="1" applyAlignment="1">
      <alignment horizontal="center" vertical="center"/>
    </xf>
    <xf numFmtId="2" fontId="14" fillId="0" borderId="19" xfId="0" applyNumberFormat="1" applyFont="1" applyFill="1" applyBorder="1" applyAlignment="1">
      <alignment horizontal="center" vertical="center"/>
    </xf>
    <xf numFmtId="2" fontId="14" fillId="0" borderId="20" xfId="0" applyNumberFormat="1" applyFont="1" applyFill="1" applyBorder="1" applyAlignment="1">
      <alignment horizontal="center" vertical="center"/>
    </xf>
    <xf numFmtId="2" fontId="14" fillId="0" borderId="1" xfId="0" applyNumberFormat="1" applyFont="1" applyFill="1" applyBorder="1" applyAlignment="1">
      <alignment horizontal="center" vertical="center"/>
    </xf>
    <xf numFmtId="2" fontId="14" fillId="0" borderId="21" xfId="0" applyNumberFormat="1" applyFont="1" applyFill="1" applyBorder="1" applyAlignment="1">
      <alignment horizontal="center" vertical="center"/>
    </xf>
    <xf numFmtId="2" fontId="14" fillId="0" borderId="3" xfId="0" applyNumberFormat="1" applyFont="1" applyFill="1" applyBorder="1" applyAlignment="1">
      <alignment horizontal="center" vertical="center"/>
    </xf>
    <xf numFmtId="2" fontId="9" fillId="0" borderId="10" xfId="0" applyNumberFormat="1" applyFont="1" applyFill="1" applyBorder="1" applyAlignment="1">
      <alignment horizontal="center"/>
    </xf>
    <xf numFmtId="2" fontId="9" fillId="0" borderId="11" xfId="0" applyNumberFormat="1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4;&#1077;&#1092;&#1077;&#1082;&#1090;&#1085;&#1099;&#1077;%20&#1074;&#1077;&#1076;&#1086;&#1084;&#1086;&#1089;&#1090;&#1080;%202017%20&#1075;&#1086;&#1076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Фургон ГАЗ 3307"/>
      <sheetName val="Фургон ГАЗ 430100"/>
      <sheetName val="УАЗ-390944"/>
      <sheetName val="КО-503В-2"/>
      <sheetName val="КО-502Б-2"/>
      <sheetName val="ЭО-2626 на базе МТЗ-82"/>
      <sheetName val="Автокран &quot;Урал&quot;"/>
      <sheetName val="МАЗ 5551"/>
      <sheetName val="АСМ ГАЗ 3307"/>
      <sheetName val="Т-25"/>
      <sheetName val="Автогрейдер ДЗ-180"/>
      <sheetName val="Трактор МТЗ-80"/>
      <sheetName val="Сварочный агрегат"/>
      <sheetName val="ДЭС"/>
      <sheetName val="Нива"/>
      <sheetName val="КО 829А"/>
    </sheetNames>
    <sheetDataSet>
      <sheetData sheetId="0">
        <row r="32">
          <cell r="F32">
            <v>136170</v>
          </cell>
        </row>
      </sheetData>
      <sheetData sheetId="1">
        <row r="39">
          <cell r="F39">
            <v>115332</v>
          </cell>
        </row>
      </sheetData>
      <sheetData sheetId="2">
        <row r="32">
          <cell r="F32">
            <v>82223.94</v>
          </cell>
        </row>
      </sheetData>
      <sheetData sheetId="3">
        <row r="31">
          <cell r="F31">
            <v>59771.600000000006</v>
          </cell>
        </row>
      </sheetData>
      <sheetData sheetId="4">
        <row r="30">
          <cell r="F30">
            <v>176037.5</v>
          </cell>
        </row>
      </sheetData>
      <sheetData sheetId="5">
        <row r="31">
          <cell r="F31">
            <v>210259.5</v>
          </cell>
        </row>
      </sheetData>
      <sheetData sheetId="6">
        <row r="28">
          <cell r="F28">
            <v>148630.5</v>
          </cell>
        </row>
      </sheetData>
      <sheetData sheetId="7">
        <row r="37">
          <cell r="F37">
            <v>120953.09999999999</v>
          </cell>
        </row>
      </sheetData>
      <sheetData sheetId="8">
        <row r="31">
          <cell r="F31">
            <v>81631</v>
          </cell>
        </row>
      </sheetData>
      <sheetData sheetId="9"/>
      <sheetData sheetId="10">
        <row r="43">
          <cell r="F43">
            <v>181007</v>
          </cell>
        </row>
      </sheetData>
      <sheetData sheetId="11">
        <row r="45">
          <cell r="F45">
            <v>118991.5</v>
          </cell>
        </row>
      </sheetData>
      <sheetData sheetId="12">
        <row r="23">
          <cell r="F23">
            <v>18740</v>
          </cell>
        </row>
      </sheetData>
      <sheetData sheetId="13"/>
      <sheetData sheetId="14">
        <row r="35">
          <cell r="F35">
            <v>80053.840000000011</v>
          </cell>
        </row>
      </sheetData>
      <sheetData sheetId="15">
        <row r="32">
          <cell r="F32">
            <v>86830.399999999994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8"/>
  <sheetViews>
    <sheetView topLeftCell="A59" workbookViewId="0">
      <selection activeCell="B83" sqref="B83"/>
    </sheetView>
  </sheetViews>
  <sheetFormatPr defaultRowHeight="15" x14ac:dyDescent="0.25"/>
  <cols>
    <col min="1" max="1" width="3.42578125" customWidth="1"/>
    <col min="2" max="2" width="24.42578125" customWidth="1"/>
    <col min="3" max="3" width="9.140625" customWidth="1"/>
    <col min="4" max="4" width="11.28515625" customWidth="1"/>
    <col min="5" max="5" width="10.28515625" customWidth="1"/>
    <col min="6" max="6" width="11" customWidth="1"/>
    <col min="7" max="7" width="10.85546875" customWidth="1"/>
    <col min="8" max="8" width="8.5703125" customWidth="1"/>
  </cols>
  <sheetData>
    <row r="1" spans="1:8" ht="30.75" customHeight="1" x14ac:dyDescent="0.25">
      <c r="A1" s="320" t="s">
        <v>380</v>
      </c>
      <c r="B1" s="320"/>
      <c r="C1" s="320"/>
      <c r="D1" s="320"/>
      <c r="E1" s="320"/>
      <c r="F1" s="320"/>
      <c r="G1" s="320"/>
      <c r="H1" s="1"/>
    </row>
    <row r="2" spans="1:8" x14ac:dyDescent="0.25">
      <c r="A2" s="319" t="s">
        <v>394</v>
      </c>
      <c r="B2" s="319"/>
      <c r="C2" s="319"/>
      <c r="D2" s="319"/>
      <c r="E2" s="319"/>
      <c r="F2" s="319"/>
      <c r="G2" s="319"/>
      <c r="H2" s="3"/>
    </row>
    <row r="3" spans="1:8" ht="25.5" customHeight="1" x14ac:dyDescent="0.25">
      <c r="A3" s="319"/>
      <c r="B3" s="319"/>
      <c r="C3" s="319"/>
      <c r="D3" s="319"/>
      <c r="E3" s="319"/>
      <c r="F3" s="319"/>
      <c r="G3" s="319"/>
      <c r="H3" s="3"/>
    </row>
    <row r="4" spans="1:8" ht="27" customHeight="1" x14ac:dyDescent="0.25">
      <c r="A4" s="319" t="s">
        <v>0</v>
      </c>
      <c r="B4" s="319"/>
      <c r="C4" s="319"/>
      <c r="D4" s="319"/>
      <c r="E4" s="319"/>
      <c r="F4" s="319"/>
      <c r="G4" s="319"/>
      <c r="H4" s="3"/>
    </row>
    <row r="5" spans="1:8" x14ac:dyDescent="0.25">
      <c r="A5" s="321" t="s">
        <v>1</v>
      </c>
      <c r="B5" s="321"/>
      <c r="C5" s="321"/>
      <c r="D5" s="321"/>
      <c r="E5" s="321"/>
      <c r="F5" s="321"/>
      <c r="G5" s="321"/>
      <c r="H5" s="4"/>
    </row>
    <row r="6" spans="1:8" x14ac:dyDescent="0.25">
      <c r="A6" s="2"/>
      <c r="B6" s="3"/>
      <c r="C6" s="322" t="s">
        <v>128</v>
      </c>
      <c r="D6" s="322"/>
      <c r="E6" s="322"/>
      <c r="F6" s="5">
        <f>164*6*11</f>
        <v>10824</v>
      </c>
      <c r="G6" s="3" t="s">
        <v>2</v>
      </c>
      <c r="H6" s="3"/>
    </row>
    <row r="7" spans="1:8" x14ac:dyDescent="0.25">
      <c r="A7" s="321" t="s">
        <v>3</v>
      </c>
      <c r="B7" s="321"/>
      <c r="C7" s="321"/>
      <c r="D7" s="321"/>
      <c r="E7" s="321"/>
      <c r="F7" s="321"/>
      <c r="G7" s="321"/>
      <c r="H7" s="4"/>
    </row>
    <row r="8" spans="1:8" x14ac:dyDescent="0.25">
      <c r="A8" s="2"/>
      <c r="B8" s="3"/>
      <c r="C8" s="322" t="s">
        <v>127</v>
      </c>
      <c r="D8" s="322"/>
      <c r="E8" s="322"/>
      <c r="F8" s="5">
        <f>164*3*11</f>
        <v>5412</v>
      </c>
      <c r="G8" s="3" t="s">
        <v>4</v>
      </c>
      <c r="H8" s="3"/>
    </row>
    <row r="9" spans="1:8" x14ac:dyDescent="0.25">
      <c r="A9" s="2"/>
      <c r="B9" s="2"/>
      <c r="C9" s="6"/>
      <c r="D9" s="2"/>
      <c r="E9" s="6"/>
      <c r="F9" s="7"/>
      <c r="G9" s="2"/>
      <c r="H9" s="2"/>
    </row>
    <row r="10" spans="1:8" x14ac:dyDescent="0.25">
      <c r="A10" s="2"/>
      <c r="B10" s="321" t="s">
        <v>5</v>
      </c>
      <c r="C10" s="321"/>
      <c r="D10" s="321"/>
      <c r="E10" s="321"/>
      <c r="F10" s="321"/>
      <c r="G10" s="321"/>
      <c r="H10" s="321"/>
    </row>
    <row r="11" spans="1:8" ht="24" x14ac:dyDescent="0.25">
      <c r="A11" s="2"/>
      <c r="B11" s="2"/>
      <c r="C11" s="8">
        <f>F6</f>
        <v>10824</v>
      </c>
      <c r="D11" s="4" t="s">
        <v>6</v>
      </c>
      <c r="E11" s="89" t="s">
        <v>395</v>
      </c>
      <c r="F11" s="5">
        <f>C11/11</f>
        <v>984</v>
      </c>
      <c r="G11" s="3" t="s">
        <v>7</v>
      </c>
      <c r="H11" s="2"/>
    </row>
    <row r="12" spans="1:8" x14ac:dyDescent="0.25">
      <c r="A12" s="2"/>
      <c r="B12" s="321" t="s">
        <v>8</v>
      </c>
      <c r="C12" s="321"/>
      <c r="D12" s="321"/>
      <c r="E12" s="321"/>
      <c r="F12" s="321"/>
      <c r="G12" s="321"/>
      <c r="H12" s="321"/>
    </row>
    <row r="13" spans="1:8" x14ac:dyDescent="0.25">
      <c r="A13" s="2"/>
      <c r="B13" s="2"/>
      <c r="C13" s="8">
        <f>F8</f>
        <v>5412</v>
      </c>
      <c r="D13" s="3" t="s">
        <v>6</v>
      </c>
      <c r="E13" s="8" t="s">
        <v>396</v>
      </c>
      <c r="F13" s="5">
        <f>C13/7</f>
        <v>773.14285714285711</v>
      </c>
      <c r="G13" s="3" t="s">
        <v>7</v>
      </c>
      <c r="H13" s="2"/>
    </row>
    <row r="14" spans="1:8" x14ac:dyDescent="0.25">
      <c r="A14" s="2"/>
      <c r="B14" s="2"/>
      <c r="C14" s="6"/>
      <c r="D14" s="2"/>
      <c r="E14" s="6"/>
      <c r="F14" s="7"/>
      <c r="G14" s="2"/>
      <c r="H14" s="2"/>
    </row>
    <row r="15" spans="1:8" x14ac:dyDescent="0.25">
      <c r="A15" s="319" t="s">
        <v>9</v>
      </c>
      <c r="B15" s="319"/>
      <c r="C15" s="319"/>
      <c r="D15" s="319"/>
      <c r="E15" s="319"/>
      <c r="F15" s="319"/>
      <c r="G15" s="319"/>
      <c r="H15" s="3"/>
    </row>
    <row r="16" spans="1:8" x14ac:dyDescent="0.25">
      <c r="A16" s="319" t="s">
        <v>10</v>
      </c>
      <c r="B16" s="319"/>
      <c r="C16" s="319"/>
      <c r="D16" s="319"/>
      <c r="E16" s="319"/>
      <c r="F16" s="319"/>
      <c r="G16" s="319"/>
      <c r="H16" s="3"/>
    </row>
    <row r="17" spans="1:20" x14ac:dyDescent="0.25">
      <c r="A17" s="319" t="s">
        <v>11</v>
      </c>
      <c r="B17" s="319"/>
      <c r="C17" s="319"/>
      <c r="D17" s="319"/>
      <c r="E17" s="319"/>
      <c r="F17" s="5"/>
      <c r="G17" s="3"/>
      <c r="H17" s="2"/>
    </row>
    <row r="18" spans="1:20" x14ac:dyDescent="0.25">
      <c r="A18" s="2"/>
      <c r="B18" s="9"/>
      <c r="C18" s="10"/>
      <c r="D18" s="323"/>
      <c r="E18" s="323"/>
      <c r="F18" s="11" t="s">
        <v>12</v>
      </c>
      <c r="G18" s="2"/>
      <c r="H18" s="2"/>
    </row>
    <row r="19" spans="1:20" ht="24.75" customHeight="1" x14ac:dyDescent="0.25">
      <c r="A19" s="2"/>
      <c r="B19" s="324" t="s">
        <v>386</v>
      </c>
      <c r="C19" s="324"/>
      <c r="D19" s="324"/>
      <c r="E19" s="324"/>
      <c r="F19" s="324"/>
      <c r="G19" s="12"/>
      <c r="H19" s="2"/>
    </row>
    <row r="20" spans="1:20" x14ac:dyDescent="0.25">
      <c r="A20" s="325" t="s">
        <v>13</v>
      </c>
      <c r="B20" s="325" t="s">
        <v>14</v>
      </c>
      <c r="C20" s="327" t="s">
        <v>15</v>
      </c>
      <c r="D20" s="327"/>
      <c r="E20" s="327"/>
      <c r="F20" s="328" t="s">
        <v>16</v>
      </c>
      <c r="G20" s="13"/>
      <c r="H20" s="14"/>
    </row>
    <row r="21" spans="1:20" ht="52.5" x14ac:dyDescent="0.25">
      <c r="A21" s="326"/>
      <c r="B21" s="326"/>
      <c r="C21" s="15" t="s">
        <v>17</v>
      </c>
      <c r="D21" s="16" t="s">
        <v>18</v>
      </c>
      <c r="E21" s="16" t="s">
        <v>19</v>
      </c>
      <c r="F21" s="329"/>
      <c r="G21" s="14"/>
      <c r="H21" s="14"/>
    </row>
    <row r="22" spans="1:20" ht="22.5" customHeight="1" x14ac:dyDescent="0.25">
      <c r="A22" s="17">
        <v>1</v>
      </c>
      <c r="B22" s="253" t="s">
        <v>20</v>
      </c>
      <c r="C22" s="252">
        <f>G22/$H$22*100</f>
        <v>7.7395532213812333</v>
      </c>
      <c r="D22" s="20"/>
      <c r="E22" s="21"/>
      <c r="F22" s="21">
        <f>($F$6-$E$32)/100*C22+E22</f>
        <v>732.93569006480277</v>
      </c>
      <c r="G22" s="2">
        <v>10522</v>
      </c>
      <c r="H22" s="293">
        <v>135951</v>
      </c>
      <c r="I22" s="293"/>
      <c r="J22" s="293"/>
      <c r="K22" s="293"/>
      <c r="L22" s="293"/>
      <c r="M22" s="293"/>
      <c r="N22" s="293"/>
      <c r="O22" s="293"/>
      <c r="P22" s="293"/>
      <c r="Q22" s="293"/>
      <c r="R22" s="293"/>
      <c r="S22" s="293"/>
      <c r="T22" s="293"/>
    </row>
    <row r="23" spans="1:20" x14ac:dyDescent="0.25">
      <c r="A23" s="17">
        <v>2</v>
      </c>
      <c r="B23" s="253" t="s">
        <v>21</v>
      </c>
      <c r="C23" s="252">
        <f t="shared" ref="C23:C31" si="0">G23/$H$22*100</f>
        <v>12.514067568462167</v>
      </c>
      <c r="D23" s="20"/>
      <c r="E23" s="21"/>
      <c r="F23" s="21">
        <f>($F$6-$E$32)/100*C23+E23</f>
        <v>1185.0821987333672</v>
      </c>
      <c r="G23" s="2">
        <v>17013</v>
      </c>
      <c r="H23" s="2"/>
      <c r="I23" s="294"/>
    </row>
    <row r="24" spans="1:20" x14ac:dyDescent="0.25">
      <c r="A24" s="17">
        <v>3</v>
      </c>
      <c r="B24" s="253" t="s">
        <v>22</v>
      </c>
      <c r="C24" s="252">
        <f t="shared" si="0"/>
        <v>23.587174790917313</v>
      </c>
      <c r="D24" s="20"/>
      <c r="E24" s="21"/>
      <c r="F24" s="21">
        <f t="shared" ref="F24:F31" si="1">($F$6-$E$32)/100*C24+E24</f>
        <v>2233.7054526998695</v>
      </c>
      <c r="G24" s="2">
        <v>32067</v>
      </c>
      <c r="H24" s="2"/>
      <c r="I24" s="294"/>
      <c r="J24" s="254"/>
      <c r="K24" s="39"/>
    </row>
    <row r="25" spans="1:20" x14ac:dyDescent="0.25">
      <c r="A25" s="17">
        <v>4</v>
      </c>
      <c r="B25" s="253" t="s">
        <v>23</v>
      </c>
      <c r="C25" s="252">
        <f t="shared" si="0"/>
        <v>27.954924936190245</v>
      </c>
      <c r="D25" s="20"/>
      <c r="E25" s="21"/>
      <c r="F25" s="21">
        <f t="shared" si="1"/>
        <v>2647.3313914572163</v>
      </c>
      <c r="G25" s="2">
        <v>38005</v>
      </c>
      <c r="H25" s="2"/>
      <c r="J25" s="254"/>
      <c r="K25" s="39"/>
    </row>
    <row r="26" spans="1:20" x14ac:dyDescent="0.25">
      <c r="A26" s="17">
        <v>5</v>
      </c>
      <c r="B26" s="253" t="s">
        <v>24</v>
      </c>
      <c r="C26" s="252">
        <f t="shared" si="0"/>
        <v>7.6946841141293545</v>
      </c>
      <c r="D26" s="20"/>
      <c r="E26" s="21"/>
      <c r="F26" s="21">
        <f t="shared" si="1"/>
        <v>728.68658560804988</v>
      </c>
      <c r="G26" s="2">
        <v>10461</v>
      </c>
      <c r="H26" s="2"/>
      <c r="I26" s="294"/>
      <c r="J26" s="254"/>
      <c r="K26" s="39"/>
    </row>
    <row r="27" spans="1:20" hidden="1" x14ac:dyDescent="0.25">
      <c r="A27" s="17">
        <v>6</v>
      </c>
      <c r="B27" s="253" t="s">
        <v>25</v>
      </c>
      <c r="C27" s="252">
        <f t="shared" si="0"/>
        <v>0</v>
      </c>
      <c r="D27" s="20">
        <v>0</v>
      </c>
      <c r="E27" s="21">
        <f>D27*30/60</f>
        <v>0</v>
      </c>
      <c r="F27" s="21">
        <f t="shared" si="1"/>
        <v>0</v>
      </c>
      <c r="G27" s="2"/>
      <c r="H27" s="2"/>
      <c r="J27" s="254"/>
      <c r="K27" s="39"/>
    </row>
    <row r="28" spans="1:20" x14ac:dyDescent="0.25">
      <c r="A28" s="17">
        <v>6</v>
      </c>
      <c r="B28" s="253" t="s">
        <v>26</v>
      </c>
      <c r="C28" s="252">
        <f t="shared" si="0"/>
        <v>4.0698486954858737</v>
      </c>
      <c r="D28" s="20">
        <v>684</v>
      </c>
      <c r="E28" s="21">
        <f>D28*30/60</f>
        <v>342</v>
      </c>
      <c r="F28" s="21">
        <f t="shared" si="1"/>
        <v>727.41467146251227</v>
      </c>
      <c r="G28" s="2">
        <v>5533</v>
      </c>
      <c r="H28" s="2"/>
      <c r="I28" s="294"/>
      <c r="J28" s="255"/>
      <c r="K28" s="255"/>
    </row>
    <row r="29" spans="1:20" ht="24" x14ac:dyDescent="0.25">
      <c r="A29" s="17">
        <v>7</v>
      </c>
      <c r="B29" s="253" t="s">
        <v>27</v>
      </c>
      <c r="C29" s="252">
        <f t="shared" si="0"/>
        <v>7.8829872527601861</v>
      </c>
      <c r="D29" s="20">
        <v>954</v>
      </c>
      <c r="E29" s="21">
        <f>D29*30/60</f>
        <v>477</v>
      </c>
      <c r="F29" s="21">
        <f t="shared" si="1"/>
        <v>1223.5188928363896</v>
      </c>
      <c r="G29" s="2">
        <v>10717</v>
      </c>
      <c r="H29" s="2"/>
      <c r="I29" s="294"/>
    </row>
    <row r="30" spans="1:20" ht="24" x14ac:dyDescent="0.25">
      <c r="A30" s="17">
        <v>8</v>
      </c>
      <c r="B30" s="253" t="s">
        <v>28</v>
      </c>
      <c r="C30" s="252">
        <f t="shared" si="0"/>
        <v>4.8142345403858737</v>
      </c>
      <c r="D30" s="20">
        <v>945</v>
      </c>
      <c r="E30" s="21">
        <f>D30*30/60</f>
        <v>472.5</v>
      </c>
      <c r="F30" s="21">
        <f>($F$6-$E$32)/100*C30+E30</f>
        <v>928.40801097454232</v>
      </c>
      <c r="G30" s="2">
        <v>6545</v>
      </c>
      <c r="H30" s="2"/>
      <c r="I30" s="294"/>
      <c r="J30" s="294"/>
    </row>
    <row r="31" spans="1:20" ht="24" x14ac:dyDescent="0.25">
      <c r="A31" s="17">
        <v>9</v>
      </c>
      <c r="B31" s="253" t="s">
        <v>350</v>
      </c>
      <c r="C31" s="252">
        <f t="shared" si="0"/>
        <v>3.7425248802877507</v>
      </c>
      <c r="D31" s="20">
        <v>125</v>
      </c>
      <c r="E31" s="21">
        <f>D31*30/60</f>
        <v>62.5</v>
      </c>
      <c r="F31" s="21">
        <f t="shared" si="1"/>
        <v>416.91710616325003</v>
      </c>
      <c r="G31" s="2">
        <v>5088</v>
      </c>
      <c r="H31" s="2"/>
      <c r="I31" s="294"/>
    </row>
    <row r="32" spans="1:20" x14ac:dyDescent="0.25">
      <c r="A32" s="330" t="s">
        <v>30</v>
      </c>
      <c r="B32" s="330"/>
      <c r="C32" s="22">
        <f>SUM(C22:C31)</f>
        <v>99.999999999999986</v>
      </c>
      <c r="D32" s="20">
        <f>SUM(D27:D31)</f>
        <v>2708</v>
      </c>
      <c r="E32" s="21">
        <f>SUM(E27:E31)</f>
        <v>1354</v>
      </c>
      <c r="F32" s="21">
        <f>SUM(F22:F31)</f>
        <v>10824.000000000002</v>
      </c>
      <c r="G32" s="2">
        <f>SUM(G22:G31)</f>
        <v>135951</v>
      </c>
      <c r="H32" s="2"/>
      <c r="I32" s="295"/>
    </row>
    <row r="33" spans="1:8" x14ac:dyDescent="0.25">
      <c r="A33" s="331" t="s">
        <v>361</v>
      </c>
      <c r="B33" s="331"/>
      <c r="C33" s="331"/>
      <c r="D33" s="331"/>
      <c r="E33" s="331"/>
      <c r="F33" s="331"/>
      <c r="G33" s="14"/>
      <c r="H33" s="14"/>
    </row>
    <row r="34" spans="1:8" ht="16.5" customHeight="1" x14ac:dyDescent="0.25">
      <c r="A34" s="332" t="s">
        <v>58</v>
      </c>
      <c r="B34" s="332"/>
      <c r="C34" s="332"/>
      <c r="D34" s="332"/>
      <c r="E34" s="332"/>
      <c r="F34" s="332"/>
      <c r="G34" s="14"/>
      <c r="H34" s="14"/>
    </row>
    <row r="35" spans="1:8" x14ac:dyDescent="0.25">
      <c r="A35" s="321" t="s">
        <v>390</v>
      </c>
      <c r="B35" s="321"/>
      <c r="C35" s="321"/>
      <c r="D35" s="321"/>
      <c r="E35" s="321"/>
      <c r="F35" s="321"/>
      <c r="G35" s="321"/>
      <c r="H35" s="14"/>
    </row>
    <row r="36" spans="1:8" x14ac:dyDescent="0.25">
      <c r="A36" s="321" t="s">
        <v>391</v>
      </c>
      <c r="B36" s="321"/>
      <c r="C36" s="321"/>
      <c r="D36" s="321"/>
      <c r="E36" s="321"/>
      <c r="F36" s="321"/>
      <c r="G36" s="14"/>
      <c r="H36" s="14"/>
    </row>
    <row r="37" spans="1:8" x14ac:dyDescent="0.25">
      <c r="A37" s="23"/>
      <c r="B37" s="23"/>
      <c r="C37" s="23"/>
      <c r="D37" s="23"/>
      <c r="E37" s="23"/>
      <c r="F37" s="23"/>
      <c r="G37" s="14"/>
      <c r="H37" s="14"/>
    </row>
    <row r="38" spans="1:8" ht="36.75" customHeight="1" x14ac:dyDescent="0.25">
      <c r="A38" s="333" t="s">
        <v>363</v>
      </c>
      <c r="B38" s="333"/>
      <c r="C38" s="333"/>
      <c r="D38" s="333"/>
      <c r="E38" s="333"/>
      <c r="F38" s="333"/>
      <c r="G38" s="333"/>
      <c r="H38" s="14"/>
    </row>
    <row r="39" spans="1:8" ht="14.25" customHeight="1" x14ac:dyDescent="0.25">
      <c r="A39" s="14"/>
      <c r="B39" s="24"/>
      <c r="C39" s="24"/>
      <c r="D39" s="24"/>
      <c r="F39" s="24"/>
      <c r="G39" s="14"/>
      <c r="H39" s="14"/>
    </row>
    <row r="40" spans="1:8" x14ac:dyDescent="0.25">
      <c r="A40" s="324" t="s">
        <v>387</v>
      </c>
      <c r="B40" s="324"/>
      <c r="C40" s="324"/>
      <c r="D40" s="324"/>
      <c r="E40" s="324"/>
      <c r="F40" s="11" t="s">
        <v>31</v>
      </c>
      <c r="G40" s="25"/>
      <c r="H40" s="14"/>
    </row>
    <row r="41" spans="1:8" x14ac:dyDescent="0.25">
      <c r="A41" s="334" t="s">
        <v>13</v>
      </c>
      <c r="B41" s="336" t="s">
        <v>32</v>
      </c>
      <c r="C41" s="338" t="s">
        <v>33</v>
      </c>
      <c r="D41" s="327" t="s">
        <v>15</v>
      </c>
      <c r="E41" s="327"/>
      <c r="F41" s="26"/>
      <c r="G41" s="13"/>
      <c r="H41" s="14"/>
    </row>
    <row r="42" spans="1:8" ht="42" x14ac:dyDescent="0.25">
      <c r="A42" s="335"/>
      <c r="B42" s="337"/>
      <c r="C42" s="326"/>
      <c r="D42" s="27" t="s">
        <v>34</v>
      </c>
      <c r="E42" s="28" t="s">
        <v>16</v>
      </c>
      <c r="F42" s="14"/>
      <c r="G42" s="14"/>
      <c r="H42" s="14"/>
    </row>
    <row r="43" spans="1:8" x14ac:dyDescent="0.25">
      <c r="A43" s="29">
        <v>1</v>
      </c>
      <c r="B43" s="30" t="s">
        <v>35</v>
      </c>
      <c r="C43" s="29">
        <v>2</v>
      </c>
      <c r="D43" s="19">
        <f>F22+F23</f>
        <v>1918.0178887981701</v>
      </c>
      <c r="E43" s="21">
        <f>D43/C43</f>
        <v>959.00894439908507</v>
      </c>
      <c r="F43" s="14"/>
      <c r="G43" s="14"/>
      <c r="H43" s="14"/>
    </row>
    <row r="44" spans="1:8" x14ac:dyDescent="0.25">
      <c r="A44" s="29">
        <v>2</v>
      </c>
      <c r="B44" s="30" t="s">
        <v>36</v>
      </c>
      <c r="C44" s="29">
        <v>2</v>
      </c>
      <c r="D44" s="22">
        <f>F27+F28+F29</f>
        <v>1950.9335642989017</v>
      </c>
      <c r="E44" s="21">
        <f t="shared" ref="E44:E49" si="2">D44/C44</f>
        <v>975.46678214945086</v>
      </c>
      <c r="F44" s="14"/>
      <c r="G44" s="14"/>
      <c r="H44" s="14"/>
    </row>
    <row r="45" spans="1:8" ht="24" x14ac:dyDescent="0.25">
      <c r="A45" s="29">
        <v>3</v>
      </c>
      <c r="B45" s="30" t="s">
        <v>28</v>
      </c>
      <c r="C45" s="29">
        <v>1</v>
      </c>
      <c r="D45" s="22">
        <f>F30</f>
        <v>928.40801097454232</v>
      </c>
      <c r="E45" s="21">
        <f t="shared" si="2"/>
        <v>928.40801097454232</v>
      </c>
      <c r="F45" s="14"/>
      <c r="G45" s="14"/>
      <c r="H45" s="14"/>
    </row>
    <row r="46" spans="1:8" x14ac:dyDescent="0.25">
      <c r="A46" s="29">
        <v>4</v>
      </c>
      <c r="B46" s="30" t="s">
        <v>22</v>
      </c>
      <c r="C46" s="29">
        <v>1</v>
      </c>
      <c r="D46" s="22">
        <f>F24</f>
        <v>2233.7054526998695</v>
      </c>
      <c r="E46" s="21">
        <f t="shared" si="2"/>
        <v>2233.7054526998695</v>
      </c>
      <c r="F46" s="14"/>
      <c r="G46" s="14"/>
      <c r="H46" s="14"/>
    </row>
    <row r="47" spans="1:8" x14ac:dyDescent="0.25">
      <c r="A47" s="29">
        <v>5</v>
      </c>
      <c r="B47" s="30" t="s">
        <v>23</v>
      </c>
      <c r="C47" s="29">
        <v>1</v>
      </c>
      <c r="D47" s="22">
        <f>F25</f>
        <v>2647.3313914572163</v>
      </c>
      <c r="E47" s="21">
        <f t="shared" si="2"/>
        <v>2647.3313914572163</v>
      </c>
      <c r="F47" s="14"/>
      <c r="G47" s="14"/>
      <c r="H47" s="14"/>
    </row>
    <row r="48" spans="1:8" x14ac:dyDescent="0.25">
      <c r="A48" s="29">
        <v>6</v>
      </c>
      <c r="B48" s="30" t="s">
        <v>24</v>
      </c>
      <c r="C48" s="29">
        <v>1</v>
      </c>
      <c r="D48" s="22">
        <f>F26</f>
        <v>728.68658560804988</v>
      </c>
      <c r="E48" s="21">
        <f t="shared" si="2"/>
        <v>728.68658560804988</v>
      </c>
      <c r="F48" s="14"/>
      <c r="G48" s="14"/>
      <c r="H48" s="14"/>
    </row>
    <row r="49" spans="1:8" x14ac:dyDescent="0.25">
      <c r="A49" s="29">
        <v>7</v>
      </c>
      <c r="B49" s="23" t="s">
        <v>37</v>
      </c>
      <c r="C49" s="29">
        <v>1</v>
      </c>
      <c r="D49" s="22">
        <f>F31</f>
        <v>416.91710616325003</v>
      </c>
      <c r="E49" s="21">
        <f t="shared" si="2"/>
        <v>416.91710616325003</v>
      </c>
      <c r="F49" s="14"/>
      <c r="G49" s="14"/>
      <c r="H49" s="14"/>
    </row>
    <row r="50" spans="1:8" x14ac:dyDescent="0.25">
      <c r="A50" s="339" t="s">
        <v>30</v>
      </c>
      <c r="B50" s="340"/>
      <c r="C50" s="29">
        <f>SUM(C43:C49)</f>
        <v>9</v>
      </c>
      <c r="D50" s="22">
        <f>SUM(D43:D49)</f>
        <v>10824</v>
      </c>
      <c r="E50" s="21" t="s">
        <v>29</v>
      </c>
      <c r="F50" s="14"/>
      <c r="G50" s="14"/>
      <c r="H50" s="14"/>
    </row>
    <row r="51" spans="1:8" x14ac:dyDescent="0.25">
      <c r="A51" s="319" t="s">
        <v>38</v>
      </c>
      <c r="B51" s="319"/>
      <c r="C51" s="319"/>
      <c r="D51" s="319"/>
      <c r="E51" s="319"/>
      <c r="F51" s="319"/>
      <c r="G51" s="319"/>
      <c r="H51" s="3"/>
    </row>
    <row r="52" spans="1:8" x14ac:dyDescent="0.25">
      <c r="A52" s="319" t="s">
        <v>39</v>
      </c>
      <c r="B52" s="319"/>
      <c r="C52" s="319"/>
      <c r="D52" s="319"/>
      <c r="E52" s="319"/>
      <c r="F52" s="5"/>
      <c r="G52" s="3"/>
      <c r="H52" s="2"/>
    </row>
    <row r="53" spans="1:8" ht="15.75" x14ac:dyDescent="0.25">
      <c r="A53" s="31"/>
      <c r="B53" s="31"/>
      <c r="C53" s="31"/>
      <c r="D53" s="31"/>
      <c r="E53" s="31"/>
      <c r="F53" s="11" t="s">
        <v>40</v>
      </c>
      <c r="G53" s="31"/>
      <c r="H53" s="31"/>
    </row>
    <row r="54" spans="1:8" ht="29.25" customHeight="1" x14ac:dyDescent="0.25">
      <c r="A54" s="324" t="s">
        <v>392</v>
      </c>
      <c r="B54" s="324"/>
      <c r="C54" s="324"/>
      <c r="D54" s="324"/>
      <c r="E54" s="324"/>
      <c r="F54" s="324"/>
      <c r="G54" s="31"/>
      <c r="H54" s="31"/>
    </row>
    <row r="55" spans="1:8" x14ac:dyDescent="0.25">
      <c r="A55" s="325" t="s">
        <v>13</v>
      </c>
      <c r="B55" s="325" t="s">
        <v>14</v>
      </c>
      <c r="C55" s="327" t="s">
        <v>15</v>
      </c>
      <c r="D55" s="327"/>
      <c r="E55" s="327"/>
      <c r="F55" s="328" t="s">
        <v>16</v>
      </c>
      <c r="G55" s="2"/>
      <c r="H55" s="2"/>
    </row>
    <row r="56" spans="1:8" ht="63" x14ac:dyDescent="0.25">
      <c r="A56" s="326"/>
      <c r="B56" s="326"/>
      <c r="C56" s="15" t="s">
        <v>41</v>
      </c>
      <c r="D56" s="16" t="s">
        <v>42</v>
      </c>
      <c r="E56" s="16" t="s">
        <v>43</v>
      </c>
      <c r="F56" s="329"/>
      <c r="G56" s="2"/>
      <c r="H56" s="2"/>
    </row>
    <row r="57" spans="1:8" x14ac:dyDescent="0.25">
      <c r="A57" s="32">
        <v>1</v>
      </c>
      <c r="B57" s="18" t="s">
        <v>44</v>
      </c>
      <c r="C57" s="22">
        <f>G57/$G$63*100</f>
        <v>46.550522648083628</v>
      </c>
      <c r="D57" s="33">
        <f>2985/40</f>
        <v>74.625</v>
      </c>
      <c r="E57" s="33">
        <f>($F$8-$D$57)/100*C57</f>
        <v>2484.5759581881534</v>
      </c>
      <c r="F57" s="33">
        <f>D57+E57</f>
        <v>2559.2009581881534</v>
      </c>
      <c r="G57" s="2">
        <v>668</v>
      </c>
      <c r="H57" s="2"/>
    </row>
    <row r="58" spans="1:8" hidden="1" x14ac:dyDescent="0.25">
      <c r="A58" s="32">
        <v>2</v>
      </c>
      <c r="B58" s="18" t="s">
        <v>45</v>
      </c>
      <c r="C58" s="22">
        <f t="shared" ref="C58:C62" si="3">G58/$G$63*100</f>
        <v>0</v>
      </c>
      <c r="D58" s="33"/>
      <c r="E58" s="33">
        <v>0</v>
      </c>
      <c r="F58" s="33">
        <f t="shared" ref="F58:F62" si="4">D58+E58</f>
        <v>0</v>
      </c>
      <c r="G58" s="2">
        <v>0</v>
      </c>
      <c r="H58" s="2"/>
    </row>
    <row r="59" spans="1:8" ht="24" x14ac:dyDescent="0.25">
      <c r="A59" s="32">
        <v>2</v>
      </c>
      <c r="B59" s="18" t="s">
        <v>46</v>
      </c>
      <c r="C59" s="22">
        <f>G59/$G$63*100</f>
        <v>24.668989547038329</v>
      </c>
      <c r="D59" s="33"/>
      <c r="E59" s="33">
        <f>($F$8-$D$57)/100*C59</f>
        <v>1316.676480836237</v>
      </c>
      <c r="F59" s="33">
        <f t="shared" si="4"/>
        <v>1316.676480836237</v>
      </c>
      <c r="G59" s="2">
        <v>354</v>
      </c>
      <c r="H59" s="2"/>
    </row>
    <row r="60" spans="1:8" ht="24" x14ac:dyDescent="0.25">
      <c r="A60" s="32">
        <v>3</v>
      </c>
      <c r="B60" s="18" t="s">
        <v>47</v>
      </c>
      <c r="C60" s="22">
        <f t="shared" si="3"/>
        <v>21.881533101045296</v>
      </c>
      <c r="D60" s="33"/>
      <c r="E60" s="33">
        <f>($F$8-$D$57)/100*C60</f>
        <v>1167.8994773519164</v>
      </c>
      <c r="F60" s="33">
        <f t="shared" si="4"/>
        <v>1167.8994773519164</v>
      </c>
      <c r="G60" s="2">
        <v>314</v>
      </c>
      <c r="H60" s="2"/>
    </row>
    <row r="61" spans="1:8" x14ac:dyDescent="0.25">
      <c r="A61" s="32">
        <v>4</v>
      </c>
      <c r="B61" s="18" t="s">
        <v>48</v>
      </c>
      <c r="C61" s="22">
        <f>G61/$G$63*100</f>
        <v>5.1567944250871083</v>
      </c>
      <c r="D61" s="33"/>
      <c r="E61" s="33">
        <f>($F$8-$D$57)/100*C61</f>
        <v>275.23745644599308</v>
      </c>
      <c r="F61" s="33">
        <f>D61+E61</f>
        <v>275.23745644599308</v>
      </c>
      <c r="G61" s="2">
        <v>74</v>
      </c>
      <c r="H61" s="2"/>
    </row>
    <row r="62" spans="1:8" x14ac:dyDescent="0.25">
      <c r="A62" s="32">
        <v>5</v>
      </c>
      <c r="B62" s="18" t="s">
        <v>49</v>
      </c>
      <c r="C62" s="22">
        <f t="shared" si="3"/>
        <v>1.7421602787456445</v>
      </c>
      <c r="D62" s="33"/>
      <c r="E62" s="33">
        <f>($F$8-$D$57)/100*C62</f>
        <v>92.985627177700351</v>
      </c>
      <c r="F62" s="33">
        <f t="shared" si="4"/>
        <v>92.985627177700351</v>
      </c>
      <c r="G62" s="2">
        <v>25</v>
      </c>
      <c r="H62" s="2"/>
    </row>
    <row r="63" spans="1:8" x14ac:dyDescent="0.25">
      <c r="A63" s="339" t="s">
        <v>30</v>
      </c>
      <c r="B63" s="340"/>
      <c r="C63" s="22">
        <f>SUM(C57:C62)</f>
        <v>100</v>
      </c>
      <c r="D63" s="33"/>
      <c r="E63" s="33">
        <f>SUM(E57:E62)</f>
        <v>5337.3750000000009</v>
      </c>
      <c r="F63" s="33">
        <f>SUM(F57:F62)</f>
        <v>5412.0000000000009</v>
      </c>
      <c r="G63" s="2">
        <f>SUM(G57:G62)</f>
        <v>1435</v>
      </c>
      <c r="H63" s="2"/>
    </row>
    <row r="64" spans="1:8" ht="18" customHeight="1" x14ac:dyDescent="0.25">
      <c r="A64" s="341" t="s">
        <v>393</v>
      </c>
      <c r="B64" s="341"/>
      <c r="C64" s="341"/>
      <c r="D64" s="341"/>
      <c r="E64" s="341"/>
      <c r="F64" s="341"/>
      <c r="G64" s="341"/>
      <c r="H64" s="34"/>
    </row>
    <row r="65" spans="1:8" x14ac:dyDescent="0.25">
      <c r="A65" s="34"/>
      <c r="B65" s="34"/>
      <c r="C65" s="35"/>
      <c r="D65" s="34"/>
      <c r="E65" s="11" t="s">
        <v>50</v>
      </c>
      <c r="F65" s="36"/>
      <c r="G65" s="34"/>
      <c r="H65" s="34"/>
    </row>
    <row r="66" spans="1:8" x14ac:dyDescent="0.25">
      <c r="A66" s="324" t="s">
        <v>387</v>
      </c>
      <c r="B66" s="324"/>
      <c r="C66" s="324"/>
      <c r="D66" s="324"/>
      <c r="E66" s="324"/>
      <c r="F66" s="36"/>
      <c r="G66" s="34"/>
      <c r="H66" s="34"/>
    </row>
    <row r="67" spans="1:8" x14ac:dyDescent="0.25">
      <c r="A67" s="334" t="s">
        <v>13</v>
      </c>
      <c r="B67" s="336" t="s">
        <v>32</v>
      </c>
      <c r="C67" s="338" t="s">
        <v>33</v>
      </c>
      <c r="D67" s="327" t="s">
        <v>15</v>
      </c>
      <c r="E67" s="327"/>
      <c r="F67" s="36"/>
      <c r="G67" s="34"/>
      <c r="H67" s="34"/>
    </row>
    <row r="68" spans="1:8" ht="42" x14ac:dyDescent="0.25">
      <c r="A68" s="335"/>
      <c r="B68" s="337"/>
      <c r="C68" s="326"/>
      <c r="D68" s="27" t="s">
        <v>34</v>
      </c>
      <c r="E68" s="28" t="s">
        <v>16</v>
      </c>
      <c r="F68" s="36"/>
      <c r="G68" s="34"/>
      <c r="H68" s="34"/>
    </row>
    <row r="69" spans="1:8" x14ac:dyDescent="0.25">
      <c r="A69" s="29">
        <v>1</v>
      </c>
      <c r="B69" s="30" t="s">
        <v>51</v>
      </c>
      <c r="C69" s="29">
        <v>1</v>
      </c>
      <c r="D69" s="37">
        <f>F58+F59</f>
        <v>1316.676480836237</v>
      </c>
      <c r="E69" s="21">
        <f>D69/C69</f>
        <v>1316.676480836237</v>
      </c>
      <c r="F69" s="36"/>
      <c r="G69" s="34"/>
      <c r="H69" s="34"/>
    </row>
    <row r="70" spans="1:8" x14ac:dyDescent="0.25">
      <c r="A70" s="29">
        <v>2</v>
      </c>
      <c r="B70" s="30" t="s">
        <v>52</v>
      </c>
      <c r="C70" s="29">
        <v>1</v>
      </c>
      <c r="D70" s="21">
        <f>F60+F62</f>
        <v>1260.8851045296167</v>
      </c>
      <c r="E70" s="21">
        <f>D70/C70</f>
        <v>1260.8851045296167</v>
      </c>
      <c r="F70" s="36"/>
      <c r="G70" s="34"/>
      <c r="H70" s="34"/>
    </row>
    <row r="71" spans="1:8" x14ac:dyDescent="0.25">
      <c r="A71" s="29">
        <v>3</v>
      </c>
      <c r="B71" s="30" t="s">
        <v>53</v>
      </c>
      <c r="C71" s="29">
        <v>1</v>
      </c>
      <c r="D71" s="21">
        <f>F61</f>
        <v>275.23745644599308</v>
      </c>
      <c r="E71" s="21">
        <f>D71/C71</f>
        <v>275.23745644599308</v>
      </c>
      <c r="F71" s="36"/>
      <c r="G71" s="34"/>
      <c r="H71" s="34"/>
    </row>
    <row r="72" spans="1:8" x14ac:dyDescent="0.25">
      <c r="A72" s="29">
        <v>4</v>
      </c>
      <c r="B72" s="30" t="s">
        <v>54</v>
      </c>
      <c r="C72" s="29">
        <v>1</v>
      </c>
      <c r="D72" s="21">
        <f>F57</f>
        <v>2559.2009581881534</v>
      </c>
      <c r="E72" s="21">
        <f>D72/C72</f>
        <v>2559.2009581881534</v>
      </c>
      <c r="F72" s="36"/>
      <c r="G72" s="34"/>
      <c r="H72" s="34"/>
    </row>
    <row r="73" spans="1:8" x14ac:dyDescent="0.25">
      <c r="A73" s="339" t="s">
        <v>30</v>
      </c>
      <c r="B73" s="340"/>
      <c r="C73" s="29">
        <f>SUM(C69:C72)</f>
        <v>4</v>
      </c>
      <c r="D73" s="21">
        <f>SUM(D69:D72)</f>
        <v>5412</v>
      </c>
      <c r="E73" s="21" t="s">
        <v>29</v>
      </c>
      <c r="F73" s="36"/>
      <c r="G73" s="34"/>
      <c r="H73" s="34"/>
    </row>
    <row r="74" spans="1:8" x14ac:dyDescent="0.25">
      <c r="A74" s="38"/>
      <c r="B74" s="38"/>
      <c r="C74" s="34"/>
      <c r="D74" s="39"/>
      <c r="E74" s="39"/>
      <c r="F74" s="36"/>
      <c r="G74" s="34"/>
      <c r="H74" s="34"/>
    </row>
    <row r="75" spans="1:8" ht="42" customHeight="1" x14ac:dyDescent="0.25">
      <c r="A75" s="333" t="s">
        <v>362</v>
      </c>
      <c r="B75" s="333"/>
      <c r="C75" s="333"/>
      <c r="D75" s="333"/>
      <c r="E75" s="333"/>
      <c r="F75" s="333"/>
      <c r="G75" s="333"/>
      <c r="H75" s="34"/>
    </row>
    <row r="76" spans="1:8" ht="21" customHeight="1" x14ac:dyDescent="0.25">
      <c r="A76" s="40"/>
      <c r="B76" s="40"/>
      <c r="C76" s="40"/>
      <c r="D76" s="40"/>
      <c r="E76" s="40"/>
      <c r="F76" s="40"/>
      <c r="G76" s="40"/>
      <c r="H76" s="34"/>
    </row>
    <row r="77" spans="1:8" ht="14.25" customHeight="1" x14ac:dyDescent="0.25">
      <c r="A77" s="2"/>
      <c r="B77" s="342" t="s">
        <v>55</v>
      </c>
      <c r="C77" s="342"/>
      <c r="D77" s="342"/>
      <c r="E77" s="41"/>
      <c r="F77" s="343" t="s">
        <v>57</v>
      </c>
      <c r="G77" s="343"/>
      <c r="H77" s="343"/>
    </row>
    <row r="78" spans="1:8" ht="15.75" x14ac:dyDescent="0.25">
      <c r="A78" s="2"/>
      <c r="B78" s="344" t="s">
        <v>56</v>
      </c>
      <c r="C78" s="344"/>
      <c r="D78" s="344"/>
      <c r="E78" s="41"/>
      <c r="F78" s="42"/>
      <c r="G78" s="43"/>
      <c r="H78" s="31"/>
    </row>
  </sheetData>
  <mergeCells count="49">
    <mergeCell ref="A73:B73"/>
    <mergeCell ref="A75:G75"/>
    <mergeCell ref="B77:D77"/>
    <mergeCell ref="F77:H77"/>
    <mergeCell ref="B78:D78"/>
    <mergeCell ref="A63:B63"/>
    <mergeCell ref="A64:G64"/>
    <mergeCell ref="A66:E66"/>
    <mergeCell ref="A67:A68"/>
    <mergeCell ref="B67:B68"/>
    <mergeCell ref="C67:C68"/>
    <mergeCell ref="D67:E67"/>
    <mergeCell ref="A50:B50"/>
    <mergeCell ref="A51:G51"/>
    <mergeCell ref="A52:E52"/>
    <mergeCell ref="A54:F54"/>
    <mergeCell ref="A55:A56"/>
    <mergeCell ref="B55:B56"/>
    <mergeCell ref="C55:E55"/>
    <mergeCell ref="F55:F56"/>
    <mergeCell ref="A38:G38"/>
    <mergeCell ref="A40:E40"/>
    <mergeCell ref="A41:A42"/>
    <mergeCell ref="B41:B42"/>
    <mergeCell ref="C41:C42"/>
    <mergeCell ref="D41:E41"/>
    <mergeCell ref="A36:F36"/>
    <mergeCell ref="A17:E17"/>
    <mergeCell ref="D18:E18"/>
    <mergeCell ref="B19:F19"/>
    <mergeCell ref="A20:A21"/>
    <mergeCell ref="B20:B21"/>
    <mergeCell ref="C20:E20"/>
    <mergeCell ref="F20:F21"/>
    <mergeCell ref="A32:B32"/>
    <mergeCell ref="A33:F33"/>
    <mergeCell ref="A34:F34"/>
    <mergeCell ref="A35:G35"/>
    <mergeCell ref="A16:G16"/>
    <mergeCell ref="A1:G1"/>
    <mergeCell ref="A2:G3"/>
    <mergeCell ref="A4:G4"/>
    <mergeCell ref="A5:G5"/>
    <mergeCell ref="C6:E6"/>
    <mergeCell ref="A7:G7"/>
    <mergeCell ref="C8:E8"/>
    <mergeCell ref="B10:H10"/>
    <mergeCell ref="B12:H12"/>
    <mergeCell ref="A15:G15"/>
  </mergeCells>
  <pageMargins left="0.25" right="0.25" top="0.75" bottom="0.75" header="0.3" footer="0.3"/>
  <pageSetup paperSize="9" orientation="portrait" r:id="rId1"/>
  <rowBreaks count="1" manualBreakCount="1">
    <brk id="39" max="16383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1"/>
  <sheetViews>
    <sheetView workbookViewId="0">
      <selection activeCell="F13" sqref="F13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20" t="s">
        <v>175</v>
      </c>
      <c r="B1" s="320"/>
      <c r="C1" s="320"/>
      <c r="D1" s="320"/>
      <c r="E1" s="320"/>
      <c r="F1" s="320"/>
      <c r="G1" s="320"/>
    </row>
    <row r="2" spans="1:7" x14ac:dyDescent="0.25">
      <c r="A2" s="319" t="s">
        <v>130</v>
      </c>
      <c r="B2" s="319"/>
      <c r="C2" s="319"/>
      <c r="D2" s="319"/>
      <c r="E2" s="319"/>
      <c r="F2" s="319"/>
      <c r="G2" s="3"/>
    </row>
    <row r="3" spans="1:7" x14ac:dyDescent="0.25">
      <c r="A3" s="87"/>
      <c r="B3" s="5">
        <f>'План. расчет времени'!F25</f>
        <v>2647.3313914572163</v>
      </c>
      <c r="C3" s="3" t="s">
        <v>131</v>
      </c>
      <c r="D3" s="3"/>
      <c r="E3" s="3"/>
      <c r="F3" s="3"/>
      <c r="G3" s="3"/>
    </row>
    <row r="4" spans="1:7" x14ac:dyDescent="0.25">
      <c r="A4" s="319" t="s">
        <v>132</v>
      </c>
      <c r="B4" s="319"/>
      <c r="C4" s="319"/>
      <c r="D4" s="319"/>
      <c r="E4" s="319"/>
      <c r="F4" s="319"/>
      <c r="G4" s="86"/>
    </row>
    <row r="5" spans="1:7" x14ac:dyDescent="0.25">
      <c r="A5" s="3"/>
      <c r="B5" s="3">
        <v>40</v>
      </c>
      <c r="C5" s="3" t="s">
        <v>131</v>
      </c>
      <c r="D5" s="3"/>
      <c r="E5" s="3"/>
      <c r="F5" s="3"/>
      <c r="G5" s="86"/>
    </row>
    <row r="6" spans="1:7" x14ac:dyDescent="0.25">
      <c r="A6" s="319" t="s">
        <v>168</v>
      </c>
      <c r="B6" s="319"/>
      <c r="C6" s="319"/>
      <c r="D6" s="319"/>
      <c r="E6" s="319"/>
      <c r="F6" s="319"/>
      <c r="G6" s="319"/>
    </row>
    <row r="7" spans="1:7" x14ac:dyDescent="0.25">
      <c r="A7" s="3"/>
      <c r="B7" s="3">
        <v>40</v>
      </c>
      <c r="C7" s="3" t="s">
        <v>131</v>
      </c>
      <c r="D7" s="87"/>
      <c r="E7" s="87"/>
      <c r="F7" s="3"/>
      <c r="G7" s="3"/>
    </row>
    <row r="8" spans="1:7" x14ac:dyDescent="0.25">
      <c r="A8" s="86"/>
      <c r="B8" s="86"/>
      <c r="C8" s="86"/>
      <c r="D8" s="3"/>
      <c r="E8" s="3"/>
      <c r="F8" s="3"/>
      <c r="G8" s="3"/>
    </row>
    <row r="9" spans="1:7" x14ac:dyDescent="0.25">
      <c r="A9" s="406" t="s">
        <v>136</v>
      </c>
      <c r="B9" s="406"/>
      <c r="C9" s="406"/>
      <c r="D9" s="149">
        <f>B3-B5-B7</f>
        <v>2567.3313914572163</v>
      </c>
      <c r="E9" s="150" t="s">
        <v>131</v>
      </c>
      <c r="F9" s="150"/>
      <c r="G9" s="9"/>
    </row>
    <row r="10" spans="1:7" x14ac:dyDescent="0.25">
      <c r="A10" s="86"/>
      <c r="B10" s="86"/>
      <c r="C10" s="86"/>
      <c r="D10" s="86"/>
      <c r="E10" s="86"/>
      <c r="F10" s="86"/>
      <c r="G10" s="86"/>
    </row>
    <row r="11" spans="1:7" x14ac:dyDescent="0.25">
      <c r="A11" s="319" t="s">
        <v>169</v>
      </c>
      <c r="B11" s="319"/>
      <c r="C11" s="3">
        <v>74217.600000000006</v>
      </c>
      <c r="D11" s="3" t="s">
        <v>98</v>
      </c>
      <c r="E11" s="3"/>
      <c r="F11" s="86"/>
      <c r="G11" s="86"/>
    </row>
    <row r="12" spans="1:7" x14ac:dyDescent="0.25">
      <c r="A12" s="86"/>
      <c r="B12" s="86"/>
      <c r="C12" s="86"/>
      <c r="D12" s="86"/>
      <c r="E12" s="86"/>
      <c r="F12" s="86"/>
      <c r="G12" s="86"/>
    </row>
    <row r="13" spans="1:7" x14ac:dyDescent="0.25">
      <c r="A13" s="319" t="s">
        <v>170</v>
      </c>
      <c r="B13" s="319"/>
      <c r="C13" s="319"/>
      <c r="D13" s="319"/>
      <c r="E13" s="319"/>
      <c r="F13" s="298">
        <f>[1]Нива!$F$35</f>
        <v>80053.840000000011</v>
      </c>
      <c r="G13" s="3" t="s">
        <v>98</v>
      </c>
    </row>
    <row r="14" spans="1:7" x14ac:dyDescent="0.25">
      <c r="A14" s="86"/>
      <c r="B14" s="86"/>
      <c r="C14" s="3"/>
      <c r="D14" s="3"/>
      <c r="E14" s="3"/>
      <c r="F14" s="87"/>
      <c r="G14" s="87"/>
    </row>
    <row r="15" spans="1:7" ht="15.75" thickBot="1" x14ac:dyDescent="0.3">
      <c r="A15" s="378" t="s">
        <v>138</v>
      </c>
      <c r="B15" s="376" t="s">
        <v>139</v>
      </c>
      <c r="C15" s="376"/>
      <c r="D15" s="376"/>
      <c r="E15" s="3"/>
      <c r="F15" s="87"/>
      <c r="G15" s="87"/>
    </row>
    <row r="16" spans="1:7" x14ac:dyDescent="0.25">
      <c r="A16" s="378"/>
      <c r="B16" s="377" t="s">
        <v>140</v>
      </c>
      <c r="C16" s="377"/>
      <c r="D16" s="377"/>
      <c r="E16" s="3"/>
      <c r="F16" s="87"/>
      <c r="G16" s="87"/>
    </row>
    <row r="17" spans="1:7" x14ac:dyDescent="0.25">
      <c r="A17" s="90"/>
      <c r="B17" s="91"/>
      <c r="C17" s="91"/>
      <c r="D17" s="91"/>
      <c r="E17" s="3"/>
      <c r="F17" s="87"/>
      <c r="G17" s="87"/>
    </row>
    <row r="18" spans="1:7" ht="15.75" thickBot="1" x14ac:dyDescent="0.3">
      <c r="A18" s="375" t="s">
        <v>141</v>
      </c>
      <c r="B18" s="375"/>
      <c r="C18" s="376" t="s">
        <v>142</v>
      </c>
      <c r="D18" s="376"/>
      <c r="E18" s="376"/>
      <c r="F18" s="87"/>
      <c r="G18" s="87"/>
    </row>
    <row r="19" spans="1:7" x14ac:dyDescent="0.25">
      <c r="A19" s="375"/>
      <c r="B19" s="375"/>
      <c r="C19" s="377" t="s">
        <v>140</v>
      </c>
      <c r="D19" s="377"/>
      <c r="E19" s="377"/>
      <c r="F19" s="87"/>
      <c r="G19" s="87"/>
    </row>
    <row r="20" spans="1:7" x14ac:dyDescent="0.25">
      <c r="A20" s="9"/>
      <c r="B20" s="9"/>
      <c r="C20" s="92"/>
      <c r="D20" s="92"/>
      <c r="E20" s="92"/>
      <c r="F20" s="87"/>
      <c r="G20" s="87"/>
    </row>
    <row r="21" spans="1:7" x14ac:dyDescent="0.25">
      <c r="A21" s="9"/>
      <c r="B21" s="9"/>
      <c r="C21" s="92"/>
      <c r="D21" s="92"/>
      <c r="E21" s="323" t="s">
        <v>12</v>
      </c>
      <c r="F21" s="323"/>
      <c r="G21" s="87"/>
    </row>
    <row r="22" spans="1:7" x14ac:dyDescent="0.25">
      <c r="A22" s="324" t="s">
        <v>143</v>
      </c>
      <c r="B22" s="324"/>
      <c r="C22" s="324"/>
      <c r="D22" s="324"/>
      <c r="E22" s="324"/>
      <c r="F22" s="324"/>
      <c r="G22" s="87"/>
    </row>
    <row r="23" spans="1:7" x14ac:dyDescent="0.25">
      <c r="A23" s="380" t="s">
        <v>144</v>
      </c>
      <c r="B23" s="382" t="s">
        <v>15</v>
      </c>
      <c r="C23" s="383"/>
      <c r="D23" s="383"/>
      <c r="E23" s="384" t="s">
        <v>145</v>
      </c>
      <c r="F23" s="384"/>
      <c r="G23" s="93"/>
    </row>
    <row r="24" spans="1:7" ht="45" x14ac:dyDescent="0.25">
      <c r="A24" s="381"/>
      <c r="B24" s="94" t="s">
        <v>146</v>
      </c>
      <c r="C24" s="94" t="s">
        <v>147</v>
      </c>
      <c r="D24" s="95" t="s">
        <v>148</v>
      </c>
      <c r="E24" s="94" t="s">
        <v>149</v>
      </c>
      <c r="F24" s="94" t="s">
        <v>150</v>
      </c>
      <c r="G24" s="96"/>
    </row>
    <row r="25" spans="1:7" x14ac:dyDescent="0.25">
      <c r="A25" s="97" t="s">
        <v>176</v>
      </c>
      <c r="B25" s="98">
        <f>C11</f>
        <v>74217.600000000006</v>
      </c>
      <c r="C25" s="99">
        <f>F13</f>
        <v>80053.840000000011</v>
      </c>
      <c r="D25" s="100">
        <f>D9</f>
        <v>2567.3313914572163</v>
      </c>
      <c r="E25" s="99">
        <f>B25/D25</f>
        <v>28.908461232141178</v>
      </c>
      <c r="F25" s="98">
        <f>C25/D25</f>
        <v>31.181732232301137</v>
      </c>
      <c r="G25" s="12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x14ac:dyDescent="0.25">
      <c r="A29" s="87"/>
      <c r="B29" s="87"/>
      <c r="C29" s="87"/>
      <c r="D29" s="87"/>
      <c r="E29" s="87"/>
      <c r="F29" s="87"/>
      <c r="G29" s="87"/>
    </row>
    <row r="30" spans="1:7" ht="15.75" x14ac:dyDescent="0.25">
      <c r="A30" s="385" t="s">
        <v>55</v>
      </c>
      <c r="B30" s="385"/>
      <c r="C30" s="385"/>
      <c r="D30" s="31"/>
      <c r="E30" s="343" t="s">
        <v>57</v>
      </c>
      <c r="F30" s="343"/>
      <c r="G30" s="343"/>
    </row>
    <row r="31" spans="1:7" ht="15.75" x14ac:dyDescent="0.25">
      <c r="A31" s="379" t="s">
        <v>56</v>
      </c>
      <c r="B31" s="379"/>
      <c r="C31" s="379"/>
      <c r="D31" s="31"/>
      <c r="E31" s="31"/>
      <c r="F31" s="84"/>
      <c r="G31" s="31"/>
    </row>
  </sheetData>
  <mergeCells count="21">
    <mergeCell ref="A31:C31"/>
    <mergeCell ref="E21:F21"/>
    <mergeCell ref="A22:F22"/>
    <mergeCell ref="A23:A24"/>
    <mergeCell ref="B23:D23"/>
    <mergeCell ref="E23:F23"/>
    <mergeCell ref="A30:C30"/>
    <mergeCell ref="E30:G30"/>
    <mergeCell ref="A13:E13"/>
    <mergeCell ref="A15:A16"/>
    <mergeCell ref="B15:D15"/>
    <mergeCell ref="B16:D16"/>
    <mergeCell ref="A18:B19"/>
    <mergeCell ref="C18:E18"/>
    <mergeCell ref="C19:E19"/>
    <mergeCell ref="A11:B11"/>
    <mergeCell ref="A1:G1"/>
    <mergeCell ref="A2:F2"/>
    <mergeCell ref="A4:F4"/>
    <mergeCell ref="A6:G6"/>
    <mergeCell ref="A9:C9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54"/>
  <sheetViews>
    <sheetView workbookViewId="0">
      <selection activeCell="E10" sqref="E10:F50"/>
    </sheetView>
  </sheetViews>
  <sheetFormatPr defaultRowHeight="15" x14ac:dyDescent="0.25"/>
  <cols>
    <col min="1" max="1" width="4.140625" customWidth="1"/>
    <col min="2" max="2" width="31.5703125" customWidth="1"/>
    <col min="3" max="3" width="9.85546875" customWidth="1"/>
    <col min="4" max="4" width="13.7109375" customWidth="1"/>
    <col min="5" max="5" width="10.28515625" customWidth="1"/>
    <col min="6" max="6" width="17.28515625" customWidth="1"/>
    <col min="7" max="7" width="11.140625" customWidth="1"/>
  </cols>
  <sheetData>
    <row r="1" spans="1:7" ht="13.5" customHeight="1" x14ac:dyDescent="0.25">
      <c r="A1" s="31"/>
      <c r="B1" s="31"/>
      <c r="C1" s="290"/>
      <c r="D1" s="290"/>
      <c r="E1" s="63"/>
      <c r="F1" s="63"/>
      <c r="G1" s="64" t="s">
        <v>59</v>
      </c>
    </row>
    <row r="2" spans="1:7" ht="13.5" customHeight="1" x14ac:dyDescent="0.25">
      <c r="A2" s="31"/>
      <c r="B2" s="31"/>
      <c r="C2" s="290"/>
      <c r="D2" s="290"/>
      <c r="E2" s="63"/>
      <c r="F2" s="63"/>
      <c r="G2" s="64" t="s">
        <v>60</v>
      </c>
    </row>
    <row r="3" spans="1:7" ht="13.5" customHeight="1" x14ac:dyDescent="0.25">
      <c r="A3" s="31"/>
      <c r="B3" s="31"/>
      <c r="C3" s="290"/>
      <c r="D3" s="290"/>
      <c r="E3" s="63"/>
      <c r="F3" s="63"/>
      <c r="G3" s="64" t="s">
        <v>388</v>
      </c>
    </row>
    <row r="4" spans="1:7" ht="13.5" customHeight="1" x14ac:dyDescent="0.25">
      <c r="A4" s="31"/>
      <c r="B4" s="31"/>
      <c r="C4" s="290"/>
      <c r="D4" s="290"/>
      <c r="E4" s="63"/>
      <c r="F4" s="63"/>
      <c r="G4" s="64" t="s">
        <v>389</v>
      </c>
    </row>
    <row r="5" spans="1:7" ht="13.5" customHeight="1" x14ac:dyDescent="0.25">
      <c r="A5" s="31"/>
      <c r="B5" s="31"/>
      <c r="C5" s="290"/>
      <c r="D5" s="290"/>
      <c r="E5" s="31"/>
      <c r="F5" s="42"/>
      <c r="G5" s="31"/>
    </row>
    <row r="6" spans="1:7" ht="13.5" customHeight="1" x14ac:dyDescent="0.25">
      <c r="A6" s="409" t="s">
        <v>93</v>
      </c>
      <c r="B6" s="409"/>
      <c r="C6" s="409"/>
      <c r="D6" s="409"/>
      <c r="E6" s="409"/>
      <c r="F6" s="409"/>
      <c r="G6" s="409"/>
    </row>
    <row r="7" spans="1:7" ht="13.5" customHeight="1" x14ac:dyDescent="0.25">
      <c r="A7" s="410" t="s">
        <v>177</v>
      </c>
      <c r="B7" s="410"/>
      <c r="C7" s="410"/>
      <c r="D7" s="410"/>
      <c r="E7" s="410"/>
      <c r="F7" s="410"/>
      <c r="G7" s="410"/>
    </row>
    <row r="8" spans="1:7" ht="13.5" customHeight="1" x14ac:dyDescent="0.25">
      <c r="A8" s="411" t="s">
        <v>13</v>
      </c>
      <c r="B8" s="413" t="s">
        <v>95</v>
      </c>
      <c r="C8" s="414"/>
      <c r="D8" s="415"/>
      <c r="E8" s="419"/>
      <c r="F8" s="421" t="s">
        <v>96</v>
      </c>
      <c r="G8" s="421"/>
    </row>
    <row r="9" spans="1:7" ht="13.5" customHeight="1" x14ac:dyDescent="0.25">
      <c r="A9" s="412"/>
      <c r="B9" s="416"/>
      <c r="C9" s="417"/>
      <c r="D9" s="418"/>
      <c r="E9" s="420"/>
      <c r="F9" s="65" t="s">
        <v>97</v>
      </c>
      <c r="G9" s="65" t="s">
        <v>62</v>
      </c>
    </row>
    <row r="10" spans="1:7" ht="13.5" customHeight="1" x14ac:dyDescent="0.25">
      <c r="A10" s="109"/>
      <c r="B10" s="386" t="s">
        <v>126</v>
      </c>
      <c r="C10" s="387"/>
      <c r="D10" s="388"/>
      <c r="E10" s="113"/>
      <c r="F10" s="112">
        <v>62.85</v>
      </c>
      <c r="G10" s="113" t="s">
        <v>98</v>
      </c>
    </row>
    <row r="11" spans="1:7" ht="13.5" customHeight="1" x14ac:dyDescent="0.25">
      <c r="A11" s="109"/>
      <c r="B11" s="109"/>
      <c r="C11" s="165"/>
      <c r="D11" s="109"/>
      <c r="E11" s="113"/>
      <c r="F11" s="112"/>
      <c r="G11" s="113"/>
    </row>
    <row r="12" spans="1:7" ht="13.5" customHeight="1" x14ac:dyDescent="0.25">
      <c r="A12" s="109"/>
      <c r="B12" s="109" t="s">
        <v>99</v>
      </c>
      <c r="C12" s="165"/>
      <c r="D12" s="109"/>
      <c r="E12" s="166">
        <v>0.25</v>
      </c>
      <c r="F12" s="112">
        <v>15.7125</v>
      </c>
      <c r="G12" s="113" t="s">
        <v>98</v>
      </c>
    </row>
    <row r="13" spans="1:7" ht="13.5" customHeight="1" x14ac:dyDescent="0.25">
      <c r="A13" s="109"/>
      <c r="B13" s="109"/>
      <c r="C13" s="165"/>
      <c r="D13" s="109"/>
      <c r="E13" s="113"/>
      <c r="F13" s="112"/>
      <c r="G13" s="113"/>
    </row>
    <row r="14" spans="1:7" ht="13.5" customHeight="1" x14ac:dyDescent="0.25">
      <c r="A14" s="109"/>
      <c r="B14" s="109" t="s">
        <v>100</v>
      </c>
      <c r="C14" s="165"/>
      <c r="D14" s="109"/>
      <c r="E14" s="166">
        <v>0.1</v>
      </c>
      <c r="F14" s="112">
        <v>6.2850000000000001</v>
      </c>
      <c r="G14" s="113" t="str">
        <f>G12</f>
        <v>руб.</v>
      </c>
    </row>
    <row r="15" spans="1:7" ht="13.5" customHeight="1" x14ac:dyDescent="0.25">
      <c r="A15" s="109"/>
      <c r="B15" s="109"/>
      <c r="C15" s="165"/>
      <c r="D15" s="109"/>
      <c r="E15" s="113"/>
      <c r="F15" s="112"/>
      <c r="G15" s="113"/>
    </row>
    <row r="16" spans="1:7" ht="13.5" customHeight="1" x14ac:dyDescent="0.25">
      <c r="A16" s="109"/>
      <c r="B16" s="109" t="s">
        <v>101</v>
      </c>
      <c r="C16" s="165"/>
      <c r="D16" s="109"/>
      <c r="E16" s="166">
        <v>0.4</v>
      </c>
      <c r="F16" s="112">
        <v>25.14</v>
      </c>
      <c r="G16" s="113" t="s">
        <v>98</v>
      </c>
    </row>
    <row r="17" spans="1:7" ht="13.5" customHeight="1" x14ac:dyDescent="0.25">
      <c r="A17" s="109"/>
      <c r="B17" s="109"/>
      <c r="C17" s="165"/>
      <c r="D17" s="109"/>
      <c r="E17" s="166"/>
      <c r="F17" s="112"/>
      <c r="G17" s="113"/>
    </row>
    <row r="18" spans="1:7" ht="13.5" customHeight="1" x14ac:dyDescent="0.25">
      <c r="A18" s="109"/>
      <c r="B18" s="109" t="s">
        <v>102</v>
      </c>
      <c r="C18" s="165"/>
      <c r="D18" s="109"/>
      <c r="E18" s="113"/>
      <c r="F18" s="112">
        <v>60</v>
      </c>
      <c r="G18" s="113" t="s">
        <v>103</v>
      </c>
    </row>
    <row r="19" spans="1:7" ht="13.5" customHeight="1" x14ac:dyDescent="0.25">
      <c r="A19" s="109"/>
      <c r="B19" s="109"/>
      <c r="C19" s="165"/>
      <c r="D19" s="109"/>
      <c r="E19" s="113"/>
      <c r="F19" s="112"/>
      <c r="G19" s="109"/>
    </row>
    <row r="20" spans="1:7" ht="13.5" customHeight="1" x14ac:dyDescent="0.25">
      <c r="A20" s="117">
        <v>1</v>
      </c>
      <c r="B20" s="118" t="s">
        <v>104</v>
      </c>
      <c r="C20" s="167"/>
      <c r="D20" s="118"/>
      <c r="E20" s="117"/>
      <c r="F20" s="121">
        <v>109.9875</v>
      </c>
      <c r="G20" s="117" t="s">
        <v>98</v>
      </c>
    </row>
    <row r="21" spans="1:7" ht="13.5" customHeight="1" x14ac:dyDescent="0.25">
      <c r="A21" s="117"/>
      <c r="B21" s="118"/>
      <c r="C21" s="167"/>
      <c r="D21" s="109"/>
      <c r="E21" s="113"/>
      <c r="F21" s="112"/>
      <c r="G21" s="113"/>
    </row>
    <row r="22" spans="1:7" ht="13.5" customHeight="1" x14ac:dyDescent="0.25">
      <c r="A22" s="117">
        <v>2</v>
      </c>
      <c r="B22" s="118" t="s">
        <v>105</v>
      </c>
      <c r="C22" s="167"/>
      <c r="D22" s="118"/>
      <c r="E22" s="168">
        <v>0.30199999999999999</v>
      </c>
      <c r="F22" s="121">
        <v>33.216225000000001</v>
      </c>
      <c r="G22" s="117" t="s">
        <v>98</v>
      </c>
    </row>
    <row r="23" spans="1:7" ht="13.5" customHeight="1" x14ac:dyDescent="0.25">
      <c r="A23" s="117"/>
      <c r="B23" s="118"/>
      <c r="C23" s="167"/>
      <c r="D23" s="109"/>
      <c r="E23" s="166"/>
      <c r="F23" s="112"/>
      <c r="G23" s="113"/>
    </row>
    <row r="24" spans="1:7" ht="13.5" customHeight="1" x14ac:dyDescent="0.25">
      <c r="A24" s="117">
        <v>3</v>
      </c>
      <c r="B24" s="118" t="s">
        <v>106</v>
      </c>
      <c r="C24" s="422"/>
      <c r="D24" s="423"/>
      <c r="E24" s="168"/>
      <c r="F24" s="121">
        <v>0</v>
      </c>
      <c r="G24" s="117" t="s">
        <v>98</v>
      </c>
    </row>
    <row r="25" spans="1:7" ht="13.5" customHeight="1" x14ac:dyDescent="0.25">
      <c r="A25" s="117"/>
      <c r="B25" s="118"/>
      <c r="C25" s="167"/>
      <c r="D25" s="109"/>
      <c r="E25" s="166"/>
      <c r="F25" s="112"/>
      <c r="G25" s="113"/>
    </row>
    <row r="26" spans="1:7" ht="13.5" customHeight="1" x14ac:dyDescent="0.25">
      <c r="A26" s="117">
        <v>4</v>
      </c>
      <c r="B26" s="118" t="s">
        <v>108</v>
      </c>
      <c r="C26" s="167"/>
      <c r="D26" s="118"/>
      <c r="E26" s="168"/>
      <c r="F26" s="121">
        <v>228.78034603599812</v>
      </c>
      <c r="G26" s="117" t="s">
        <v>98</v>
      </c>
    </row>
    <row r="27" spans="1:7" ht="13.5" customHeight="1" x14ac:dyDescent="0.25">
      <c r="A27" s="117"/>
      <c r="B27" s="118"/>
      <c r="C27" s="167"/>
      <c r="D27" s="109"/>
      <c r="E27" s="166"/>
      <c r="F27" s="112"/>
      <c r="G27" s="113"/>
    </row>
    <row r="28" spans="1:7" ht="13.5" customHeight="1" x14ac:dyDescent="0.25">
      <c r="A28" s="117">
        <v>5</v>
      </c>
      <c r="B28" s="118" t="s">
        <v>156</v>
      </c>
      <c r="C28" s="169"/>
      <c r="D28" s="104"/>
      <c r="E28" s="170"/>
      <c r="F28" s="108"/>
      <c r="G28" s="104"/>
    </row>
    <row r="29" spans="1:7" ht="13.5" customHeight="1" x14ac:dyDescent="0.25">
      <c r="A29" s="113"/>
      <c r="B29" s="109" t="s">
        <v>178</v>
      </c>
      <c r="C29" s="386" t="s">
        <v>179</v>
      </c>
      <c r="D29" s="388"/>
      <c r="E29" s="170"/>
      <c r="F29" s="124">
        <v>17.64</v>
      </c>
      <c r="G29" s="113" t="s">
        <v>111</v>
      </c>
    </row>
    <row r="30" spans="1:7" ht="13.5" customHeight="1" x14ac:dyDescent="0.25">
      <c r="A30" s="113"/>
      <c r="B30" s="109" t="s">
        <v>70</v>
      </c>
      <c r="C30" s="386" t="s">
        <v>180</v>
      </c>
      <c r="D30" s="388"/>
      <c r="E30" s="170"/>
      <c r="F30" s="112">
        <v>5.0000000000000001E-3</v>
      </c>
      <c r="G30" s="113" t="s">
        <v>111</v>
      </c>
    </row>
    <row r="31" spans="1:7" ht="13.5" customHeight="1" x14ac:dyDescent="0.25">
      <c r="A31" s="113"/>
      <c r="B31" s="109" t="s">
        <v>181</v>
      </c>
      <c r="C31" s="389">
        <f>F29+F30</f>
        <v>17.645</v>
      </c>
      <c r="D31" s="424"/>
      <c r="E31" s="170">
        <v>35.1</v>
      </c>
      <c r="F31" s="121">
        <v>619.33950000000004</v>
      </c>
      <c r="G31" s="117" t="s">
        <v>98</v>
      </c>
    </row>
    <row r="32" spans="1:7" ht="13.5" customHeight="1" x14ac:dyDescent="0.25">
      <c r="A32" s="113"/>
      <c r="B32" s="109"/>
      <c r="C32" s="165"/>
      <c r="D32" s="109"/>
      <c r="E32" s="170"/>
      <c r="F32" s="121"/>
      <c r="G32" s="117"/>
    </row>
    <row r="33" spans="1:7" ht="13.5" customHeight="1" x14ac:dyDescent="0.25">
      <c r="A33" s="117">
        <v>6</v>
      </c>
      <c r="B33" s="118" t="s">
        <v>112</v>
      </c>
      <c r="C33" s="167"/>
      <c r="D33" s="118"/>
      <c r="E33" s="171"/>
      <c r="F33" s="121"/>
      <c r="G33" s="117"/>
    </row>
    <row r="34" spans="1:7" ht="13.5" customHeight="1" x14ac:dyDescent="0.25">
      <c r="A34" s="117"/>
      <c r="B34" s="109" t="s">
        <v>113</v>
      </c>
      <c r="C34" s="172">
        <v>2.9000000000000001E-2</v>
      </c>
      <c r="D34" s="129" t="s">
        <v>116</v>
      </c>
      <c r="E34" s="173">
        <v>186.99</v>
      </c>
      <c r="F34" s="112">
        <v>95.683717950000002</v>
      </c>
      <c r="G34" s="113" t="s">
        <v>98</v>
      </c>
    </row>
    <row r="35" spans="1:7" ht="13.5" customHeight="1" x14ac:dyDescent="0.25">
      <c r="A35" s="117"/>
      <c r="B35" s="109" t="s">
        <v>115</v>
      </c>
      <c r="C35" s="172">
        <v>4.0000000000000001E-3</v>
      </c>
      <c r="D35" s="131" t="s">
        <v>116</v>
      </c>
      <c r="E35" s="173">
        <v>107.82</v>
      </c>
      <c r="F35" s="112">
        <v>7.6099356</v>
      </c>
      <c r="G35" s="113" t="s">
        <v>98</v>
      </c>
    </row>
    <row r="36" spans="1:7" ht="13.5" customHeight="1" x14ac:dyDescent="0.25">
      <c r="A36" s="117"/>
      <c r="B36" s="109" t="s">
        <v>117</v>
      </c>
      <c r="C36" s="172">
        <v>1.5E-3</v>
      </c>
      <c r="D36" s="131" t="s">
        <v>116</v>
      </c>
      <c r="E36" s="173">
        <v>75.260000000000005</v>
      </c>
      <c r="F36" s="112">
        <v>1.9919440500000003</v>
      </c>
      <c r="G36" s="113" t="s">
        <v>98</v>
      </c>
    </row>
    <row r="37" spans="1:7" ht="13.5" customHeight="1" x14ac:dyDescent="0.25">
      <c r="A37" s="117"/>
      <c r="B37" s="109" t="s">
        <v>118</v>
      </c>
      <c r="C37" s="174">
        <v>3.5000000000000001E-3</v>
      </c>
      <c r="D37" s="133" t="s">
        <v>116</v>
      </c>
      <c r="E37" s="173">
        <v>132.04</v>
      </c>
      <c r="F37" s="112">
        <v>8.1544603000000002</v>
      </c>
      <c r="G37" s="113" t="s">
        <v>98</v>
      </c>
    </row>
    <row r="38" spans="1:7" ht="13.5" customHeight="1" x14ac:dyDescent="0.25">
      <c r="A38" s="117"/>
      <c r="B38" s="109" t="s">
        <v>119</v>
      </c>
      <c r="C38" s="175"/>
      <c r="D38" s="162"/>
      <c r="E38" s="171"/>
      <c r="F38" s="121">
        <v>113.4400579</v>
      </c>
      <c r="G38" s="113" t="s">
        <v>98</v>
      </c>
    </row>
    <row r="39" spans="1:7" ht="13.5" customHeight="1" x14ac:dyDescent="0.25">
      <c r="A39" s="117"/>
      <c r="B39" s="109"/>
      <c r="C39" s="165"/>
      <c r="D39" s="162"/>
      <c r="E39" s="168"/>
      <c r="F39" s="121"/>
      <c r="G39" s="117"/>
    </row>
    <row r="40" spans="1:7" ht="13.5" customHeight="1" x14ac:dyDescent="0.25">
      <c r="A40" s="117">
        <v>7</v>
      </c>
      <c r="B40" s="118" t="s">
        <v>120</v>
      </c>
      <c r="C40" s="167"/>
      <c r="D40" s="118"/>
      <c r="E40" s="122">
        <v>0.6</v>
      </c>
      <c r="F40" s="121">
        <v>65.992499999999993</v>
      </c>
      <c r="G40" s="117" t="s">
        <v>98</v>
      </c>
    </row>
    <row r="41" spans="1:7" ht="13.5" customHeight="1" x14ac:dyDescent="0.25">
      <c r="A41" s="113"/>
      <c r="B41" s="109"/>
      <c r="C41" s="165"/>
      <c r="D41" s="109"/>
      <c r="E41" s="166"/>
      <c r="F41" s="112"/>
      <c r="G41" s="113"/>
    </row>
    <row r="42" spans="1:7" ht="13.5" customHeight="1" x14ac:dyDescent="0.25">
      <c r="A42" s="117">
        <v>8</v>
      </c>
      <c r="B42" s="118" t="s">
        <v>121</v>
      </c>
      <c r="C42" s="167"/>
      <c r="D42" s="118"/>
      <c r="E42" s="168"/>
      <c r="F42" s="121">
        <v>1170.7561289359983</v>
      </c>
      <c r="G42" s="117" t="s">
        <v>98</v>
      </c>
    </row>
    <row r="43" spans="1:7" ht="13.5" customHeight="1" x14ac:dyDescent="0.25">
      <c r="A43" s="117"/>
      <c r="B43" s="118"/>
      <c r="C43" s="167"/>
      <c r="D43" s="118"/>
      <c r="E43" s="168"/>
      <c r="F43" s="121"/>
      <c r="G43" s="117"/>
    </row>
    <row r="44" spans="1:7" ht="13.5" customHeight="1" x14ac:dyDescent="0.25">
      <c r="A44" s="117">
        <v>9</v>
      </c>
      <c r="B44" s="118" t="s">
        <v>122</v>
      </c>
      <c r="C44" s="167"/>
      <c r="D44" s="118"/>
      <c r="E44" s="168"/>
      <c r="F44" s="121"/>
      <c r="G44" s="117"/>
    </row>
    <row r="45" spans="1:7" ht="13.5" customHeight="1" x14ac:dyDescent="0.25">
      <c r="A45" s="113"/>
      <c r="B45" s="109" t="s">
        <v>123</v>
      </c>
      <c r="C45" s="165"/>
      <c r="D45" s="109"/>
      <c r="E45" s="166">
        <v>0.1</v>
      </c>
      <c r="F45" s="112">
        <v>117.07561289359984</v>
      </c>
      <c r="G45" s="113" t="s">
        <v>98</v>
      </c>
    </row>
    <row r="46" spans="1:7" ht="13.5" customHeight="1" x14ac:dyDescent="0.25">
      <c r="A46" s="113"/>
      <c r="B46" s="109" t="s">
        <v>124</v>
      </c>
      <c r="C46" s="165"/>
      <c r="D46" s="109"/>
      <c r="E46" s="166">
        <v>0.15</v>
      </c>
      <c r="F46" s="112">
        <v>175.61341934039973</v>
      </c>
      <c r="G46" s="113" t="s">
        <v>98</v>
      </c>
    </row>
    <row r="47" spans="1:7" ht="13.5" customHeight="1" x14ac:dyDescent="0.25">
      <c r="A47" s="113"/>
      <c r="B47" s="109"/>
      <c r="C47" s="165"/>
      <c r="D47" s="109"/>
      <c r="E47" s="166"/>
      <c r="F47" s="112"/>
      <c r="G47" s="113"/>
    </row>
    <row r="48" spans="1:7" ht="13.5" customHeight="1" x14ac:dyDescent="0.25">
      <c r="A48" s="117">
        <v>10</v>
      </c>
      <c r="B48" s="118" t="s">
        <v>125</v>
      </c>
      <c r="C48" s="167"/>
      <c r="D48" s="118"/>
      <c r="E48" s="168"/>
      <c r="F48" s="121"/>
      <c r="G48" s="117"/>
    </row>
    <row r="49" spans="1:7" ht="13.5" customHeight="1" x14ac:dyDescent="0.25">
      <c r="A49" s="113"/>
      <c r="B49" s="109" t="s">
        <v>123</v>
      </c>
      <c r="C49" s="165"/>
      <c r="D49" s="109"/>
      <c r="E49" s="166"/>
      <c r="F49" s="121">
        <v>1287.8317418295981</v>
      </c>
      <c r="G49" s="117" t="s">
        <v>98</v>
      </c>
    </row>
    <row r="50" spans="1:7" ht="13.5" customHeight="1" x14ac:dyDescent="0.25">
      <c r="A50" s="113"/>
      <c r="B50" s="109" t="s">
        <v>124</v>
      </c>
      <c r="C50" s="165"/>
      <c r="D50" s="109"/>
      <c r="E50" s="166"/>
      <c r="F50" s="121">
        <v>1346.3695482763981</v>
      </c>
      <c r="G50" s="117" t="s">
        <v>98</v>
      </c>
    </row>
    <row r="51" spans="1:7" ht="13.5" customHeight="1" x14ac:dyDescent="0.25">
      <c r="A51" s="104"/>
      <c r="B51" s="104"/>
      <c r="C51" s="164"/>
      <c r="D51" s="104"/>
      <c r="E51" s="135"/>
      <c r="F51" s="108"/>
      <c r="G51" s="108"/>
    </row>
    <row r="52" spans="1:7" ht="13.5" customHeight="1" x14ac:dyDescent="0.25">
      <c r="A52" s="104"/>
      <c r="B52" s="104"/>
      <c r="C52" s="164"/>
      <c r="D52" s="104"/>
      <c r="E52" s="135"/>
      <c r="F52" s="108"/>
      <c r="G52" s="104"/>
    </row>
    <row r="53" spans="1:7" ht="13.5" customHeight="1" x14ac:dyDescent="0.25">
      <c r="A53" s="31"/>
      <c r="B53" s="83" t="s">
        <v>55</v>
      </c>
      <c r="C53" s="83"/>
      <c r="D53" s="83"/>
      <c r="E53" s="31"/>
      <c r="F53" s="62" t="s">
        <v>57</v>
      </c>
      <c r="G53" s="31"/>
    </row>
    <row r="54" spans="1:7" ht="13.5" customHeight="1" x14ac:dyDescent="0.25">
      <c r="A54" s="31"/>
      <c r="B54" s="84" t="s">
        <v>56</v>
      </c>
      <c r="C54" s="83"/>
      <c r="D54" s="83"/>
      <c r="E54" s="31"/>
      <c r="F54" s="42"/>
      <c r="G54" s="31"/>
    </row>
  </sheetData>
  <mergeCells count="11">
    <mergeCell ref="B10:D10"/>
    <mergeCell ref="C24:D24"/>
    <mergeCell ref="C29:D29"/>
    <mergeCell ref="C30:D30"/>
    <mergeCell ref="C31:D31"/>
    <mergeCell ref="A6:G6"/>
    <mergeCell ref="A7:G7"/>
    <mergeCell ref="A8:A9"/>
    <mergeCell ref="B8:D9"/>
    <mergeCell ref="E8:E9"/>
    <mergeCell ref="F8:G8"/>
  </mergeCells>
  <pageMargins left="0.25" right="0.25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0"/>
  <sheetViews>
    <sheetView workbookViewId="0">
      <selection activeCell="D10" sqref="D10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20" t="s">
        <v>182</v>
      </c>
      <c r="B1" s="320"/>
      <c r="C1" s="320"/>
      <c r="D1" s="320"/>
      <c r="E1" s="320"/>
      <c r="F1" s="320"/>
      <c r="G1" s="320"/>
    </row>
    <row r="2" spans="1:7" x14ac:dyDescent="0.25">
      <c r="A2" s="319" t="s">
        <v>130</v>
      </c>
      <c r="B2" s="319"/>
      <c r="C2" s="319"/>
      <c r="D2" s="319"/>
      <c r="E2" s="319"/>
      <c r="F2" s="319"/>
      <c r="G2" s="3"/>
    </row>
    <row r="3" spans="1:7" x14ac:dyDescent="0.25">
      <c r="A3" s="87"/>
      <c r="B3" s="5">
        <f>'План. расчет времени'!F26</f>
        <v>728.68658560804988</v>
      </c>
      <c r="C3" s="3" t="s">
        <v>131</v>
      </c>
      <c r="D3" s="3"/>
      <c r="E3" s="3"/>
      <c r="F3" s="3"/>
      <c r="G3" s="3"/>
    </row>
    <row r="4" spans="1:7" x14ac:dyDescent="0.25">
      <c r="A4" s="319" t="s">
        <v>132</v>
      </c>
      <c r="B4" s="319"/>
      <c r="C4" s="319"/>
      <c r="D4" s="319"/>
      <c r="E4" s="319"/>
      <c r="F4" s="319"/>
      <c r="G4" s="86"/>
    </row>
    <row r="5" spans="1:7" x14ac:dyDescent="0.25">
      <c r="A5" s="3"/>
      <c r="B5" s="3">
        <v>40</v>
      </c>
      <c r="C5" s="3" t="s">
        <v>131</v>
      </c>
      <c r="D5" s="3"/>
      <c r="E5" s="3"/>
      <c r="F5" s="3"/>
      <c r="G5" s="86"/>
    </row>
    <row r="6" spans="1:7" x14ac:dyDescent="0.25">
      <c r="A6" s="319" t="s">
        <v>183</v>
      </c>
      <c r="B6" s="319"/>
      <c r="C6" s="319"/>
      <c r="D6" s="319"/>
      <c r="E6" s="319"/>
      <c r="F6" s="319"/>
      <c r="G6" s="86"/>
    </row>
    <row r="7" spans="1:7" x14ac:dyDescent="0.25">
      <c r="A7" s="319" t="s">
        <v>134</v>
      </c>
      <c r="B7" s="319"/>
      <c r="C7" s="319"/>
      <c r="D7" s="319"/>
      <c r="E7" s="319"/>
      <c r="F7" s="319"/>
      <c r="G7" s="319"/>
    </row>
    <row r="8" spans="1:7" x14ac:dyDescent="0.25">
      <c r="A8" s="319" t="s">
        <v>135</v>
      </c>
      <c r="B8" s="319"/>
      <c r="C8" s="319"/>
      <c r="D8" s="319"/>
      <c r="E8" s="319"/>
      <c r="F8" s="319"/>
      <c r="G8" s="3"/>
    </row>
    <row r="9" spans="1:7" x14ac:dyDescent="0.25">
      <c r="A9" s="86"/>
      <c r="B9" s="86"/>
      <c r="C9" s="86"/>
      <c r="D9" s="3">
        <v>160</v>
      </c>
      <c r="E9" s="3" t="s">
        <v>131</v>
      </c>
      <c r="F9" s="3"/>
      <c r="G9" s="3"/>
    </row>
    <row r="10" spans="1:7" x14ac:dyDescent="0.25">
      <c r="A10" s="322" t="s">
        <v>136</v>
      </c>
      <c r="B10" s="322"/>
      <c r="C10" s="322"/>
      <c r="D10" s="5">
        <f>B3-B5-D9</f>
        <v>528.68658560804988</v>
      </c>
      <c r="E10" s="3" t="s">
        <v>131</v>
      </c>
      <c r="F10" s="3"/>
      <c r="G10" s="86"/>
    </row>
    <row r="11" spans="1:7" x14ac:dyDescent="0.25">
      <c r="A11" s="86"/>
      <c r="B11" s="86"/>
      <c r="C11" s="86"/>
      <c r="D11" s="86"/>
      <c r="E11" s="86"/>
      <c r="F11" s="86"/>
      <c r="G11" s="86"/>
    </row>
    <row r="12" spans="1:7" x14ac:dyDescent="0.25">
      <c r="A12" s="319" t="s">
        <v>137</v>
      </c>
      <c r="B12" s="319"/>
      <c r="C12" s="319"/>
      <c r="D12" s="319"/>
      <c r="E12" s="319"/>
      <c r="F12" s="298">
        <f>'[1]МАЗ 5551'!$F$37</f>
        <v>120953.09999999999</v>
      </c>
      <c r="G12" s="3" t="s">
        <v>98</v>
      </c>
    </row>
    <row r="13" spans="1:7" x14ac:dyDescent="0.25">
      <c r="A13" s="86"/>
      <c r="B13" s="86"/>
      <c r="C13" s="3"/>
      <c r="D13" s="3"/>
      <c r="E13" s="3"/>
      <c r="F13" s="87"/>
      <c r="G13" s="87"/>
    </row>
    <row r="14" spans="1:7" ht="15.75" thickBot="1" x14ac:dyDescent="0.3">
      <c r="A14" s="378" t="s">
        <v>138</v>
      </c>
      <c r="B14" s="376" t="s">
        <v>139</v>
      </c>
      <c r="C14" s="376"/>
      <c r="D14" s="376"/>
      <c r="E14" s="3"/>
      <c r="F14" s="87"/>
      <c r="G14" s="87"/>
    </row>
    <row r="15" spans="1:7" x14ac:dyDescent="0.25">
      <c r="A15" s="378"/>
      <c r="B15" s="377" t="s">
        <v>140</v>
      </c>
      <c r="C15" s="377"/>
      <c r="D15" s="377"/>
      <c r="E15" s="3"/>
      <c r="F15" s="87"/>
      <c r="G15" s="87"/>
    </row>
    <row r="16" spans="1:7" x14ac:dyDescent="0.25">
      <c r="A16" s="90"/>
      <c r="B16" s="91"/>
      <c r="C16" s="91"/>
      <c r="D16" s="91"/>
      <c r="E16" s="3"/>
      <c r="F16" s="87"/>
      <c r="G16" s="87"/>
    </row>
    <row r="17" spans="1:7" ht="15.75" thickBot="1" x14ac:dyDescent="0.3">
      <c r="A17" s="375" t="s">
        <v>141</v>
      </c>
      <c r="B17" s="375"/>
      <c r="C17" s="376" t="s">
        <v>142</v>
      </c>
      <c r="D17" s="376"/>
      <c r="E17" s="376"/>
      <c r="F17" s="87"/>
      <c r="G17" s="87"/>
    </row>
    <row r="18" spans="1:7" x14ac:dyDescent="0.25">
      <c r="A18" s="375"/>
      <c r="B18" s="375"/>
      <c r="C18" s="377" t="s">
        <v>140</v>
      </c>
      <c r="D18" s="377"/>
      <c r="E18" s="377"/>
      <c r="F18" s="87"/>
      <c r="G18" s="87"/>
    </row>
    <row r="19" spans="1:7" x14ac:dyDescent="0.25">
      <c r="A19" s="9"/>
      <c r="B19" s="9"/>
      <c r="C19" s="92"/>
      <c r="D19" s="92"/>
      <c r="E19" s="92"/>
      <c r="F19" s="87"/>
      <c r="G19" s="87"/>
    </row>
    <row r="20" spans="1:7" x14ac:dyDescent="0.25">
      <c r="A20" s="9"/>
      <c r="B20" s="9"/>
      <c r="C20" s="92"/>
      <c r="D20" s="92"/>
      <c r="E20" s="323" t="s">
        <v>12</v>
      </c>
      <c r="F20" s="323"/>
      <c r="G20" s="87"/>
    </row>
    <row r="21" spans="1:7" x14ac:dyDescent="0.25">
      <c r="A21" s="324" t="s">
        <v>143</v>
      </c>
      <c r="B21" s="324"/>
      <c r="C21" s="324"/>
      <c r="D21" s="324"/>
      <c r="E21" s="324"/>
      <c r="F21" s="324"/>
      <c r="G21" s="87"/>
    </row>
    <row r="22" spans="1:7" x14ac:dyDescent="0.25">
      <c r="A22" s="380" t="s">
        <v>144</v>
      </c>
      <c r="B22" s="382" t="s">
        <v>15</v>
      </c>
      <c r="C22" s="383"/>
      <c r="D22" s="383"/>
      <c r="E22" s="384" t="s">
        <v>145</v>
      </c>
      <c r="F22" s="384"/>
      <c r="G22" s="93"/>
    </row>
    <row r="23" spans="1:7" ht="45" x14ac:dyDescent="0.25">
      <c r="A23" s="381"/>
      <c r="B23" s="94" t="s">
        <v>146</v>
      </c>
      <c r="C23" s="94" t="s">
        <v>147</v>
      </c>
      <c r="D23" s="95" t="s">
        <v>148</v>
      </c>
      <c r="E23" s="94" t="s">
        <v>149</v>
      </c>
      <c r="F23" s="94" t="s">
        <v>150</v>
      </c>
      <c r="G23" s="96"/>
    </row>
    <row r="24" spans="1:7" x14ac:dyDescent="0.25">
      <c r="A24" s="97" t="s">
        <v>184</v>
      </c>
      <c r="B24" s="98">
        <v>0</v>
      </c>
      <c r="C24" s="99">
        <f>F12</f>
        <v>120953.09999999999</v>
      </c>
      <c r="D24" s="100">
        <f>D10</f>
        <v>528.68658560804988</v>
      </c>
      <c r="E24" s="99">
        <f>B24/D24</f>
        <v>0</v>
      </c>
      <c r="F24" s="98">
        <f>C24/D24</f>
        <v>228.78034603599812</v>
      </c>
      <c r="G24" s="12"/>
    </row>
    <row r="25" spans="1:7" x14ac:dyDescent="0.25">
      <c r="A25" s="87"/>
      <c r="B25" s="87"/>
      <c r="C25" s="87"/>
      <c r="D25" s="87"/>
      <c r="E25" s="87"/>
      <c r="F25" s="87"/>
      <c r="G25" s="87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ht="15.75" x14ac:dyDescent="0.25">
      <c r="A29" s="385" t="s">
        <v>55</v>
      </c>
      <c r="B29" s="385"/>
      <c r="C29" s="385"/>
      <c r="D29" s="31"/>
      <c r="E29" s="343" t="s">
        <v>57</v>
      </c>
      <c r="F29" s="343"/>
      <c r="G29" s="343"/>
    </row>
    <row r="30" spans="1:7" ht="15.75" x14ac:dyDescent="0.25">
      <c r="A30" s="379" t="s">
        <v>56</v>
      </c>
      <c r="B30" s="379"/>
      <c r="C30" s="379"/>
      <c r="D30" s="31"/>
      <c r="E30" s="31"/>
      <c r="F30" s="84"/>
      <c r="G30" s="31"/>
    </row>
  </sheetData>
  <mergeCells count="22">
    <mergeCell ref="A30:C30"/>
    <mergeCell ref="E20:F20"/>
    <mergeCell ref="A21:F21"/>
    <mergeCell ref="A22:A23"/>
    <mergeCell ref="B22:D22"/>
    <mergeCell ref="E22:F22"/>
    <mergeCell ref="A29:C29"/>
    <mergeCell ref="E29:G29"/>
    <mergeCell ref="A17:B18"/>
    <mergeCell ref="C17:E17"/>
    <mergeCell ref="C18:E18"/>
    <mergeCell ref="A1:G1"/>
    <mergeCell ref="A2:F2"/>
    <mergeCell ref="A4:F4"/>
    <mergeCell ref="A6:F6"/>
    <mergeCell ref="A7:G7"/>
    <mergeCell ref="A8:F8"/>
    <mergeCell ref="A10:C10"/>
    <mergeCell ref="A12:E12"/>
    <mergeCell ref="A14:A15"/>
    <mergeCell ref="B14:D14"/>
    <mergeCell ref="B15:D15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I50"/>
  <sheetViews>
    <sheetView workbookViewId="0">
      <selection activeCell="F49" sqref="F49"/>
    </sheetView>
  </sheetViews>
  <sheetFormatPr defaultRowHeight="15" x14ac:dyDescent="0.25"/>
  <cols>
    <col min="1" max="1" width="5.42578125" customWidth="1"/>
    <col min="2" max="2" width="31" customWidth="1"/>
    <col min="3" max="3" width="8.85546875" customWidth="1"/>
    <col min="4" max="4" width="13.85546875" customWidth="1"/>
    <col min="5" max="5" width="10.42578125" customWidth="1"/>
    <col min="6" max="6" width="17.85546875" customWidth="1"/>
    <col min="7" max="7" width="9.28515625" customWidth="1"/>
    <col min="8" max="8" width="15.7109375" customWidth="1"/>
    <col min="9" max="9" width="12.42578125" customWidth="1"/>
  </cols>
  <sheetData>
    <row r="1" spans="1:9" ht="12.75" customHeight="1" x14ac:dyDescent="0.25">
      <c r="A1" s="104"/>
      <c r="B1" s="104"/>
      <c r="C1" s="135"/>
      <c r="D1" s="135"/>
      <c r="E1" s="135"/>
      <c r="F1" s="108"/>
      <c r="G1" s="104"/>
      <c r="H1" s="108"/>
      <c r="I1" s="106" t="s">
        <v>59</v>
      </c>
    </row>
    <row r="2" spans="1:9" ht="12.75" customHeight="1" x14ac:dyDescent="0.25">
      <c r="A2" s="104"/>
      <c r="B2" s="104"/>
      <c r="C2" s="135"/>
      <c r="D2" s="135"/>
      <c r="E2" s="135"/>
      <c r="F2" s="108"/>
      <c r="G2" s="104"/>
      <c r="H2" s="108"/>
      <c r="I2" s="106" t="s">
        <v>60</v>
      </c>
    </row>
    <row r="3" spans="1:9" ht="12.75" customHeight="1" x14ac:dyDescent="0.25">
      <c r="A3" s="104"/>
      <c r="B3" s="104"/>
      <c r="C3" s="135"/>
      <c r="D3" s="135"/>
      <c r="E3" s="135"/>
      <c r="F3" s="108"/>
      <c r="G3" s="104"/>
      <c r="H3" s="108"/>
      <c r="I3" s="106" t="s">
        <v>403</v>
      </c>
    </row>
    <row r="4" spans="1:9" ht="12.75" customHeight="1" x14ac:dyDescent="0.25">
      <c r="A4" s="104"/>
      <c r="B4" s="104"/>
      <c r="C4" s="135"/>
      <c r="D4" s="135"/>
      <c r="E4" s="135"/>
      <c r="F4" s="108"/>
      <c r="G4" s="104"/>
      <c r="H4" s="108"/>
      <c r="I4" s="106" t="s">
        <v>404</v>
      </c>
    </row>
    <row r="5" spans="1:9" ht="12.75" customHeight="1" x14ac:dyDescent="0.25">
      <c r="A5" s="396" t="s">
        <v>93</v>
      </c>
      <c r="B5" s="396"/>
      <c r="C5" s="396"/>
      <c r="D5" s="396"/>
      <c r="E5" s="396"/>
      <c r="F5" s="396"/>
      <c r="G5" s="396"/>
      <c r="H5" s="396"/>
      <c r="I5" s="396"/>
    </row>
    <row r="6" spans="1:9" ht="12.75" customHeight="1" x14ac:dyDescent="0.25">
      <c r="A6" s="396" t="s">
        <v>185</v>
      </c>
      <c r="B6" s="396"/>
      <c r="C6" s="396"/>
      <c r="D6" s="396"/>
      <c r="E6" s="396"/>
      <c r="F6" s="396"/>
      <c r="G6" s="396"/>
      <c r="H6" s="396"/>
      <c r="I6" s="396"/>
    </row>
    <row r="7" spans="1:9" ht="12.75" customHeight="1" x14ac:dyDescent="0.25">
      <c r="A7" s="353" t="s">
        <v>13</v>
      </c>
      <c r="B7" s="390" t="s">
        <v>95</v>
      </c>
      <c r="C7" s="391"/>
      <c r="D7" s="391"/>
      <c r="E7" s="392"/>
      <c r="F7" s="357" t="s">
        <v>96</v>
      </c>
      <c r="G7" s="357"/>
      <c r="H7" s="357"/>
      <c r="I7" s="357"/>
    </row>
    <row r="8" spans="1:9" ht="12.75" customHeight="1" x14ac:dyDescent="0.25">
      <c r="A8" s="427"/>
      <c r="B8" s="428"/>
      <c r="C8" s="429"/>
      <c r="D8" s="429"/>
      <c r="E8" s="430"/>
      <c r="F8" s="357" t="s">
        <v>186</v>
      </c>
      <c r="G8" s="357"/>
      <c r="H8" s="357" t="s">
        <v>187</v>
      </c>
      <c r="I8" s="357"/>
    </row>
    <row r="9" spans="1:9" ht="12.75" customHeight="1" x14ac:dyDescent="0.25">
      <c r="A9" s="354"/>
      <c r="B9" s="393"/>
      <c r="C9" s="394"/>
      <c r="D9" s="394"/>
      <c r="E9" s="395"/>
      <c r="F9" s="65" t="s">
        <v>97</v>
      </c>
      <c r="G9" s="88" t="s">
        <v>62</v>
      </c>
      <c r="H9" s="65" t="s">
        <v>97</v>
      </c>
      <c r="I9" s="88" t="s">
        <v>62</v>
      </c>
    </row>
    <row r="10" spans="1:9" ht="12.75" customHeight="1" x14ac:dyDescent="0.25">
      <c r="A10" s="109"/>
      <c r="B10" s="109" t="s">
        <v>153</v>
      </c>
      <c r="C10" s="113"/>
      <c r="D10" s="113"/>
      <c r="E10" s="113"/>
      <c r="F10" s="112">
        <v>1.8585</v>
      </c>
      <c r="G10" s="113" t="s">
        <v>98</v>
      </c>
      <c r="H10" s="112">
        <v>74.34</v>
      </c>
      <c r="I10" s="113" t="s">
        <v>98</v>
      </c>
    </row>
    <row r="11" spans="1:9" ht="3" customHeight="1" x14ac:dyDescent="0.25">
      <c r="A11" s="109"/>
      <c r="B11" s="109"/>
      <c r="C11" s="113"/>
      <c r="D11" s="113"/>
      <c r="E11" s="113"/>
      <c r="F11" s="112"/>
      <c r="G11" s="113"/>
      <c r="H11" s="112"/>
      <c r="I11" s="113"/>
    </row>
    <row r="12" spans="1:9" ht="12.75" customHeight="1" x14ac:dyDescent="0.25">
      <c r="A12" s="109"/>
      <c r="B12" s="109" t="s">
        <v>99</v>
      </c>
      <c r="C12" s="113"/>
      <c r="D12" s="113"/>
      <c r="E12" s="166">
        <v>0.25</v>
      </c>
      <c r="F12" s="112">
        <v>0.46462500000000001</v>
      </c>
      <c r="G12" s="113" t="s">
        <v>98</v>
      </c>
      <c r="H12" s="112">
        <v>18.585000000000001</v>
      </c>
      <c r="I12" s="113" t="s">
        <v>98</v>
      </c>
    </row>
    <row r="13" spans="1:9" ht="3" customHeight="1" x14ac:dyDescent="0.25">
      <c r="A13" s="109"/>
      <c r="B13" s="109"/>
      <c r="C13" s="113"/>
      <c r="D13" s="113"/>
      <c r="E13" s="113"/>
      <c r="F13" s="112"/>
      <c r="G13" s="113"/>
      <c r="H13" s="112"/>
      <c r="I13" s="113"/>
    </row>
    <row r="14" spans="1:9" ht="12.75" customHeight="1" x14ac:dyDescent="0.25">
      <c r="A14" s="109"/>
      <c r="B14" s="109" t="s">
        <v>100</v>
      </c>
      <c r="C14" s="113"/>
      <c r="D14" s="113"/>
      <c r="E14" s="166">
        <v>0.1</v>
      </c>
      <c r="F14" s="112">
        <v>0.18585000000000002</v>
      </c>
      <c r="G14" s="113" t="s">
        <v>98</v>
      </c>
      <c r="H14" s="112">
        <v>7.4340000000000011</v>
      </c>
      <c r="I14" s="113" t="str">
        <f>I12</f>
        <v>руб.</v>
      </c>
    </row>
    <row r="15" spans="1:9" ht="3" customHeight="1" x14ac:dyDescent="0.25">
      <c r="A15" s="109"/>
      <c r="B15" s="109"/>
      <c r="C15" s="113"/>
      <c r="D15" s="113"/>
      <c r="E15" s="113"/>
      <c r="F15" s="112"/>
      <c r="G15" s="113"/>
      <c r="H15" s="112"/>
      <c r="I15" s="113"/>
    </row>
    <row r="16" spans="1:9" ht="12.75" customHeight="1" x14ac:dyDescent="0.25">
      <c r="A16" s="109"/>
      <c r="B16" s="109" t="s">
        <v>101</v>
      </c>
      <c r="C16" s="113"/>
      <c r="D16" s="113"/>
      <c r="E16" s="166">
        <v>0.4</v>
      </c>
      <c r="F16" s="112">
        <v>0.74340000000000006</v>
      </c>
      <c r="G16" s="113" t="s">
        <v>98</v>
      </c>
      <c r="H16" s="112">
        <v>29.736000000000004</v>
      </c>
      <c r="I16" s="113" t="s">
        <v>98</v>
      </c>
    </row>
    <row r="17" spans="1:9" ht="3" customHeight="1" x14ac:dyDescent="0.25">
      <c r="A17" s="109"/>
      <c r="B17" s="109"/>
      <c r="C17" s="113"/>
      <c r="D17" s="113"/>
      <c r="E17" s="166"/>
      <c r="F17" s="112"/>
      <c r="G17" s="113"/>
      <c r="H17" s="112"/>
      <c r="I17" s="113"/>
    </row>
    <row r="18" spans="1:9" ht="12.75" customHeight="1" x14ac:dyDescent="0.25">
      <c r="A18" s="109"/>
      <c r="B18" s="109" t="s">
        <v>102</v>
      </c>
      <c r="C18" s="113"/>
      <c r="D18" s="113"/>
      <c r="E18" s="113"/>
      <c r="F18" s="112" t="s">
        <v>188</v>
      </c>
      <c r="G18" s="113"/>
      <c r="H18" s="112">
        <v>60</v>
      </c>
      <c r="I18" s="113" t="s">
        <v>103</v>
      </c>
    </row>
    <row r="19" spans="1:9" ht="3" customHeight="1" x14ac:dyDescent="0.25">
      <c r="A19" s="109"/>
      <c r="B19" s="109"/>
      <c r="C19" s="113"/>
      <c r="D19" s="113"/>
      <c r="E19" s="113"/>
      <c r="F19" s="112"/>
      <c r="G19" s="109"/>
      <c r="H19" s="112"/>
      <c r="I19" s="109"/>
    </row>
    <row r="20" spans="1:9" ht="12.75" customHeight="1" x14ac:dyDescent="0.25">
      <c r="A20" s="117">
        <v>1</v>
      </c>
      <c r="B20" s="118" t="s">
        <v>104</v>
      </c>
      <c r="C20" s="117"/>
      <c r="D20" s="117"/>
      <c r="E20" s="117"/>
      <c r="F20" s="121">
        <v>3.2523749999999998</v>
      </c>
      <c r="G20" s="117" t="s">
        <v>98</v>
      </c>
      <c r="H20" s="121">
        <v>130.09500000000003</v>
      </c>
      <c r="I20" s="117" t="s">
        <v>98</v>
      </c>
    </row>
    <row r="21" spans="1:9" ht="3" customHeight="1" x14ac:dyDescent="0.25">
      <c r="A21" s="117"/>
      <c r="B21" s="118"/>
      <c r="C21" s="117"/>
      <c r="D21" s="113"/>
      <c r="E21" s="113"/>
      <c r="F21" s="112"/>
      <c r="G21" s="113"/>
      <c r="H21" s="112"/>
      <c r="I21" s="113"/>
    </row>
    <row r="22" spans="1:9" ht="12.75" customHeight="1" x14ac:dyDescent="0.25">
      <c r="A22" s="117">
        <v>2</v>
      </c>
      <c r="B22" s="118" t="s">
        <v>105</v>
      </c>
      <c r="C22" s="117"/>
      <c r="D22" s="117"/>
      <c r="E22" s="168">
        <v>0.30199999999999999</v>
      </c>
      <c r="F22" s="121">
        <v>0.98221724999999993</v>
      </c>
      <c r="G22" s="117" t="s">
        <v>98</v>
      </c>
      <c r="H22" s="121">
        <v>39.28869000000001</v>
      </c>
      <c r="I22" s="117" t="s">
        <v>98</v>
      </c>
    </row>
    <row r="23" spans="1:9" ht="3" customHeight="1" x14ac:dyDescent="0.25">
      <c r="A23" s="117"/>
      <c r="B23" s="118"/>
      <c r="C23" s="117"/>
      <c r="D23" s="113"/>
      <c r="E23" s="166"/>
      <c r="F23" s="112"/>
      <c r="G23" s="113"/>
      <c r="H23" s="112"/>
      <c r="I23" s="113"/>
    </row>
    <row r="24" spans="1:9" ht="12.75" customHeight="1" x14ac:dyDescent="0.25">
      <c r="A24" s="117">
        <v>3</v>
      </c>
      <c r="B24" s="118" t="s">
        <v>106</v>
      </c>
      <c r="C24" s="425" t="s">
        <v>189</v>
      </c>
      <c r="D24" s="426"/>
      <c r="E24" s="168"/>
      <c r="F24" s="121">
        <v>0</v>
      </c>
      <c r="G24" s="117" t="s">
        <v>98</v>
      </c>
      <c r="H24" s="121">
        <v>0</v>
      </c>
      <c r="I24" s="117" t="s">
        <v>98</v>
      </c>
    </row>
    <row r="25" spans="1:9" ht="3" customHeight="1" x14ac:dyDescent="0.25">
      <c r="A25" s="117"/>
      <c r="B25" s="118"/>
      <c r="C25" s="117"/>
      <c r="D25" s="113"/>
      <c r="E25" s="166"/>
      <c r="F25" s="112"/>
      <c r="G25" s="113"/>
      <c r="H25" s="112"/>
      <c r="I25" s="113"/>
    </row>
    <row r="26" spans="1:9" ht="12.75" customHeight="1" x14ac:dyDescent="0.25">
      <c r="A26" s="117">
        <v>4</v>
      </c>
      <c r="B26" s="118" t="s">
        <v>108</v>
      </c>
      <c r="C26" s="117"/>
      <c r="D26" s="117"/>
      <c r="E26" s="168"/>
      <c r="F26" s="121">
        <v>15.359461922431194</v>
      </c>
      <c r="G26" s="117" t="s">
        <v>98</v>
      </c>
      <c r="H26" s="121">
        <v>614.37847689724777</v>
      </c>
      <c r="I26" s="117" t="s">
        <v>98</v>
      </c>
    </row>
    <row r="27" spans="1:9" ht="3" customHeight="1" x14ac:dyDescent="0.25">
      <c r="A27" s="117"/>
      <c r="B27" s="118"/>
      <c r="C27" s="117"/>
      <c r="D27" s="113"/>
      <c r="E27" s="166"/>
      <c r="F27" s="112"/>
      <c r="G27" s="113"/>
      <c r="H27" s="112"/>
      <c r="I27" s="113"/>
    </row>
    <row r="28" spans="1:9" ht="12.75" customHeight="1" x14ac:dyDescent="0.25">
      <c r="A28" s="117">
        <v>5</v>
      </c>
      <c r="B28" s="118" t="s">
        <v>156</v>
      </c>
      <c r="C28" s="308" t="s">
        <v>190</v>
      </c>
      <c r="D28" s="113"/>
      <c r="E28" s="170"/>
      <c r="F28" s="112">
        <v>0.42</v>
      </c>
      <c r="G28" s="113" t="s">
        <v>111</v>
      </c>
      <c r="H28" s="124">
        <v>6.7</v>
      </c>
      <c r="I28" s="113" t="s">
        <v>111</v>
      </c>
    </row>
    <row r="29" spans="1:9" ht="3" customHeight="1" x14ac:dyDescent="0.25">
      <c r="A29" s="117"/>
      <c r="B29" s="118"/>
      <c r="C29" s="308"/>
      <c r="D29" s="113"/>
      <c r="E29" s="170"/>
      <c r="F29" s="112"/>
      <c r="G29" s="113"/>
    </row>
    <row r="30" spans="1:9" ht="12.75" customHeight="1" x14ac:dyDescent="0.25">
      <c r="A30" s="117">
        <v>6</v>
      </c>
      <c r="B30" s="118" t="s">
        <v>112</v>
      </c>
      <c r="C30" s="308"/>
      <c r="D30" s="113"/>
      <c r="E30" s="170">
        <v>34.53</v>
      </c>
      <c r="F30" s="126">
        <v>14.502599999999999</v>
      </c>
      <c r="G30" s="117" t="s">
        <v>98</v>
      </c>
      <c r="H30" s="126">
        <v>231.35100000000003</v>
      </c>
      <c r="I30" s="117" t="s">
        <v>98</v>
      </c>
    </row>
    <row r="31" spans="1:9" ht="3" customHeight="1" x14ac:dyDescent="0.25">
      <c r="C31" s="314"/>
      <c r="D31" s="113"/>
      <c r="E31" s="170"/>
      <c r="F31" s="112"/>
      <c r="G31" s="113"/>
      <c r="H31" s="124"/>
      <c r="I31" s="113"/>
    </row>
    <row r="32" spans="1:9" ht="12.75" customHeight="1" x14ac:dyDescent="0.25">
      <c r="A32" s="117"/>
      <c r="B32" s="109" t="s">
        <v>113</v>
      </c>
      <c r="C32" s="142">
        <v>2.8000000000000001E-2</v>
      </c>
      <c r="D32" s="176" t="s">
        <v>191</v>
      </c>
      <c r="E32" s="177">
        <v>186.99</v>
      </c>
      <c r="F32" s="112">
        <v>2.1990023999999999</v>
      </c>
      <c r="G32" s="113" t="s">
        <v>98</v>
      </c>
      <c r="H32" s="124">
        <v>35.079324000000007</v>
      </c>
      <c r="I32" s="113" t="s">
        <v>98</v>
      </c>
    </row>
    <row r="33" spans="1:9" ht="12.75" customHeight="1" x14ac:dyDescent="0.25">
      <c r="A33" s="117"/>
      <c r="B33" s="109" t="s">
        <v>115</v>
      </c>
      <c r="C33" s="142">
        <v>3.0000000000000001E-3</v>
      </c>
      <c r="D33" s="178" t="s">
        <v>192</v>
      </c>
      <c r="E33" s="177">
        <v>107.82</v>
      </c>
      <c r="F33" s="112">
        <v>0.13585320000000001</v>
      </c>
      <c r="G33" s="113" t="s">
        <v>98</v>
      </c>
      <c r="H33" s="124">
        <v>2.1671819999999999</v>
      </c>
      <c r="I33" s="113" t="s">
        <v>98</v>
      </c>
    </row>
    <row r="34" spans="1:9" ht="12.75" customHeight="1" x14ac:dyDescent="0.25">
      <c r="A34" s="117"/>
      <c r="B34" s="109" t="s">
        <v>117</v>
      </c>
      <c r="C34" s="142">
        <v>1E-3</v>
      </c>
      <c r="D34" s="178" t="s">
        <v>193</v>
      </c>
      <c r="E34" s="177">
        <v>75.260000000000005</v>
      </c>
      <c r="F34" s="112">
        <v>3.1609200000000004E-2</v>
      </c>
      <c r="G34" s="113" t="s">
        <v>98</v>
      </c>
      <c r="H34" s="124">
        <v>0.50424200000000008</v>
      </c>
      <c r="I34" s="113" t="s">
        <v>98</v>
      </c>
    </row>
    <row r="35" spans="1:9" ht="12.75" customHeight="1" x14ac:dyDescent="0.25">
      <c r="A35" s="117"/>
      <c r="B35" s="109" t="s">
        <v>118</v>
      </c>
      <c r="C35" s="313">
        <v>2E-3</v>
      </c>
      <c r="D35" s="179" t="s">
        <v>192</v>
      </c>
      <c r="E35" s="177">
        <v>132.04</v>
      </c>
      <c r="F35" s="112">
        <v>0.1109136</v>
      </c>
      <c r="G35" s="113" t="s">
        <v>98</v>
      </c>
      <c r="H35" s="124">
        <v>1.769336</v>
      </c>
      <c r="I35" s="113" t="s">
        <v>98</v>
      </c>
    </row>
    <row r="36" spans="1:9" ht="12.75" customHeight="1" x14ac:dyDescent="0.25">
      <c r="A36" s="117"/>
      <c r="B36" s="109" t="s">
        <v>119</v>
      </c>
      <c r="C36" s="117"/>
      <c r="D36" s="180"/>
      <c r="E36" s="168"/>
      <c r="F36" s="121">
        <v>2.4773784000000001</v>
      </c>
      <c r="G36" s="113" t="s">
        <v>98</v>
      </c>
      <c r="H36" s="121">
        <v>39.520084000000004</v>
      </c>
      <c r="I36" s="113" t="s">
        <v>98</v>
      </c>
    </row>
    <row r="37" spans="1:9" ht="12.75" customHeight="1" x14ac:dyDescent="0.25">
      <c r="A37" s="117">
        <v>7</v>
      </c>
      <c r="B37" s="118" t="s">
        <v>120</v>
      </c>
      <c r="C37" s="117"/>
      <c r="D37" s="117"/>
      <c r="E37" s="122">
        <v>0.6</v>
      </c>
      <c r="F37" s="121">
        <v>1.9514249999999997</v>
      </c>
      <c r="G37" s="117" t="s">
        <v>98</v>
      </c>
      <c r="H37" s="121">
        <v>78.057000000000016</v>
      </c>
      <c r="I37" s="117" t="s">
        <v>98</v>
      </c>
    </row>
    <row r="38" spans="1:9" ht="3" customHeight="1" x14ac:dyDescent="0.25">
      <c r="A38" s="113"/>
      <c r="B38" s="109"/>
      <c r="C38" s="113"/>
      <c r="D38" s="113"/>
      <c r="E38" s="166"/>
      <c r="F38" s="112"/>
      <c r="G38" s="113"/>
      <c r="H38" s="112"/>
      <c r="I38" s="113"/>
    </row>
    <row r="39" spans="1:9" ht="12.75" customHeight="1" x14ac:dyDescent="0.25">
      <c r="A39" s="117">
        <v>8</v>
      </c>
      <c r="B39" s="118" t="s">
        <v>121</v>
      </c>
      <c r="C39" s="117"/>
      <c r="D39" s="117"/>
      <c r="E39" s="168"/>
      <c r="F39" s="121">
        <v>38.525457572431193</v>
      </c>
      <c r="G39" s="117" t="s">
        <v>98</v>
      </c>
      <c r="H39" s="121">
        <v>1132.6902508972478</v>
      </c>
      <c r="I39" s="117" t="s">
        <v>98</v>
      </c>
    </row>
    <row r="40" spans="1:9" ht="3" customHeight="1" x14ac:dyDescent="0.25">
      <c r="A40" s="117"/>
      <c r="B40" s="118"/>
      <c r="C40" s="117"/>
      <c r="D40" s="117"/>
      <c r="E40" s="168"/>
      <c r="F40" s="121"/>
      <c r="G40" s="117"/>
      <c r="H40" s="121"/>
      <c r="I40" s="117"/>
    </row>
    <row r="41" spans="1:9" ht="12.75" customHeight="1" x14ac:dyDescent="0.25">
      <c r="A41" s="117">
        <v>9</v>
      </c>
      <c r="B41" s="118" t="s">
        <v>122</v>
      </c>
      <c r="C41" s="117"/>
      <c r="D41" s="117"/>
      <c r="E41" s="168"/>
      <c r="F41" s="121"/>
      <c r="G41" s="117"/>
      <c r="H41" s="121"/>
      <c r="I41" s="117"/>
    </row>
    <row r="42" spans="1:9" ht="12.75" customHeight="1" x14ac:dyDescent="0.25">
      <c r="A42" s="113"/>
      <c r="B42" s="109" t="s">
        <v>123</v>
      </c>
      <c r="C42" s="113"/>
      <c r="D42" s="113"/>
      <c r="E42" s="166">
        <v>0.1</v>
      </c>
      <c r="F42" s="112">
        <v>3.8525457572431194</v>
      </c>
      <c r="G42" s="113" t="s">
        <v>98</v>
      </c>
      <c r="H42" s="112">
        <v>113.26902508972478</v>
      </c>
      <c r="I42" s="113" t="s">
        <v>98</v>
      </c>
    </row>
    <row r="43" spans="1:9" ht="12.75" customHeight="1" x14ac:dyDescent="0.25">
      <c r="A43" s="113"/>
      <c r="B43" s="109" t="s">
        <v>124</v>
      </c>
      <c r="C43" s="113"/>
      <c r="D43" s="113"/>
      <c r="E43" s="166">
        <v>0.15</v>
      </c>
      <c r="F43" s="112">
        <v>5.7788186358646785</v>
      </c>
      <c r="G43" s="113" t="s">
        <v>98</v>
      </c>
      <c r="H43" s="112">
        <v>169.90353763458717</v>
      </c>
      <c r="I43" s="113" t="s">
        <v>98</v>
      </c>
    </row>
    <row r="44" spans="1:9" ht="12.75" customHeight="1" x14ac:dyDescent="0.25">
      <c r="A44" s="117">
        <v>10</v>
      </c>
      <c r="B44" s="118" t="s">
        <v>125</v>
      </c>
      <c r="C44" s="117"/>
      <c r="D44" s="117"/>
      <c r="E44" s="168"/>
      <c r="F44" s="121"/>
      <c r="G44" s="117"/>
      <c r="H44" s="121"/>
      <c r="I44" s="117"/>
    </row>
    <row r="45" spans="1:9" ht="12.75" customHeight="1" x14ac:dyDescent="0.25">
      <c r="A45" s="113"/>
      <c r="B45" s="109" t="s">
        <v>123</v>
      </c>
      <c r="C45" s="113"/>
      <c r="D45" s="113"/>
      <c r="E45" s="166"/>
      <c r="F45" s="121">
        <v>42.378003329674314</v>
      </c>
      <c r="G45" s="117" t="s">
        <v>98</v>
      </c>
      <c r="H45" s="121">
        <v>1245.9592759869724</v>
      </c>
      <c r="I45" s="117" t="s">
        <v>98</v>
      </c>
    </row>
    <row r="46" spans="1:9" ht="12.75" customHeight="1" x14ac:dyDescent="0.25">
      <c r="A46" s="113"/>
      <c r="B46" s="109" t="s">
        <v>124</v>
      </c>
      <c r="C46" s="113"/>
      <c r="D46" s="113"/>
      <c r="E46" s="166"/>
      <c r="F46" s="121">
        <v>44.304276208295875</v>
      </c>
      <c r="G46" s="117" t="s">
        <v>98</v>
      </c>
      <c r="H46" s="121">
        <v>1302.5937885318349</v>
      </c>
      <c r="I46" s="117" t="s">
        <v>98</v>
      </c>
    </row>
    <row r="47" spans="1:9" ht="9.75" customHeight="1" x14ac:dyDescent="0.25">
      <c r="A47" s="104"/>
      <c r="B47" s="104"/>
      <c r="C47" s="135"/>
      <c r="D47" s="135"/>
      <c r="E47" s="135"/>
      <c r="F47" s="108"/>
      <c r="G47" s="104"/>
      <c r="H47" s="108"/>
      <c r="I47" s="163"/>
    </row>
    <row r="48" spans="1:9" ht="9.75" customHeight="1" x14ac:dyDescent="0.25">
      <c r="A48" s="104"/>
      <c r="B48" s="104"/>
      <c r="C48" s="135"/>
      <c r="D48" s="135"/>
      <c r="E48" s="135"/>
      <c r="F48" s="108"/>
      <c r="G48" s="104"/>
      <c r="H48" s="108"/>
      <c r="I48" s="104"/>
    </row>
    <row r="49" spans="1:9" ht="12.75" customHeight="1" x14ac:dyDescent="0.25">
      <c r="A49" s="31"/>
      <c r="B49" s="31"/>
      <c r="C49" s="385" t="s">
        <v>55</v>
      </c>
      <c r="D49" s="385"/>
      <c r="E49" s="31"/>
      <c r="F49" s="31"/>
      <c r="G49" s="31"/>
      <c r="H49" s="62" t="s">
        <v>57</v>
      </c>
      <c r="I49" s="31"/>
    </row>
    <row r="50" spans="1:9" ht="12.75" customHeight="1" x14ac:dyDescent="0.25">
      <c r="A50" s="31"/>
      <c r="B50" s="31"/>
      <c r="C50" s="379" t="s">
        <v>56</v>
      </c>
      <c r="D50" s="379"/>
      <c r="E50" s="31"/>
      <c r="F50" s="42"/>
      <c r="G50" s="31"/>
      <c r="H50" s="31"/>
      <c r="I50" s="31"/>
    </row>
  </sheetData>
  <mergeCells count="10">
    <mergeCell ref="C24:D24"/>
    <mergeCell ref="C49:D49"/>
    <mergeCell ref="C50:D50"/>
    <mergeCell ref="A5:I5"/>
    <mergeCell ref="A6:I6"/>
    <mergeCell ref="A7:A9"/>
    <mergeCell ref="B7:E9"/>
    <mergeCell ref="F7:I7"/>
    <mergeCell ref="F8:G8"/>
    <mergeCell ref="H8:I8"/>
  </mergeCells>
  <pageMargins left="0.25" right="0.25" top="0.75" bottom="0.75" header="0.3" footer="0.3"/>
  <pageSetup paperSize="9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42"/>
  <sheetViews>
    <sheetView topLeftCell="A13" workbookViewId="0">
      <selection activeCell="J27" sqref="J27"/>
    </sheetView>
  </sheetViews>
  <sheetFormatPr defaultRowHeight="15" x14ac:dyDescent="0.25"/>
  <cols>
    <col min="1" max="1" width="24.710937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20" t="s">
        <v>196</v>
      </c>
      <c r="B1" s="320"/>
      <c r="C1" s="320"/>
      <c r="D1" s="320"/>
      <c r="E1" s="320"/>
      <c r="F1" s="320"/>
      <c r="G1" s="320"/>
    </row>
    <row r="2" spans="1:7" x14ac:dyDescent="0.25">
      <c r="A2" s="319" t="s">
        <v>353</v>
      </c>
      <c r="B2" s="319"/>
      <c r="C2" s="319"/>
      <c r="D2" s="319"/>
      <c r="E2" s="319"/>
      <c r="F2" s="319"/>
      <c r="G2" s="3"/>
    </row>
    <row r="3" spans="1:7" x14ac:dyDescent="0.25">
      <c r="A3" s="5">
        <f>'План. расчет времени'!F57</f>
        <v>2559.2009581881534</v>
      </c>
      <c r="B3" s="319" t="s">
        <v>131</v>
      </c>
      <c r="C3" s="319"/>
      <c r="D3" s="3"/>
      <c r="E3" s="3"/>
      <c r="F3" s="3"/>
      <c r="G3" s="3"/>
    </row>
    <row r="4" spans="1:7" x14ac:dyDescent="0.25">
      <c r="A4" s="319" t="s">
        <v>197</v>
      </c>
      <c r="B4" s="319"/>
      <c r="C4" s="319"/>
      <c r="D4" s="319"/>
      <c r="E4" s="319"/>
      <c r="F4" s="319"/>
      <c r="G4" s="3"/>
    </row>
    <row r="5" spans="1:7" x14ac:dyDescent="0.25">
      <c r="A5" s="5">
        <f>'План. расчет времени'!E57</f>
        <v>2484.5759581881534</v>
      </c>
      <c r="B5" s="319" t="s">
        <v>198</v>
      </c>
      <c r="C5" s="319"/>
      <c r="D5" s="5">
        <f>A5/A3*100</f>
        <v>97.084050794790556</v>
      </c>
      <c r="E5" s="3" t="s">
        <v>199</v>
      </c>
      <c r="F5" s="3"/>
      <c r="G5" s="3"/>
    </row>
    <row r="6" spans="1:7" x14ac:dyDescent="0.25">
      <c r="A6" s="319" t="s">
        <v>200</v>
      </c>
      <c r="B6" s="319"/>
      <c r="C6" s="319"/>
      <c r="D6" s="319"/>
      <c r="E6" s="319"/>
      <c r="F6" s="319"/>
      <c r="G6" s="3"/>
    </row>
    <row r="7" spans="1:7" x14ac:dyDescent="0.25">
      <c r="A7" s="5">
        <f>'План. расчет времени'!D57</f>
        <v>74.625</v>
      </c>
      <c r="B7" s="319" t="s">
        <v>198</v>
      </c>
      <c r="C7" s="319"/>
      <c r="D7" s="5">
        <f>A7/A3*100</f>
        <v>2.9159492052094467</v>
      </c>
      <c r="E7" s="3" t="s">
        <v>199</v>
      </c>
      <c r="F7" s="3"/>
      <c r="G7" s="3"/>
    </row>
    <row r="8" spans="1:7" x14ac:dyDescent="0.25">
      <c r="A8" s="87"/>
      <c r="B8" s="5"/>
      <c r="C8" s="3"/>
      <c r="D8" s="3"/>
      <c r="E8" s="3"/>
      <c r="F8" s="3"/>
      <c r="G8" s="3"/>
    </row>
    <row r="9" spans="1:7" x14ac:dyDescent="0.25">
      <c r="A9" s="319" t="s">
        <v>132</v>
      </c>
      <c r="B9" s="319"/>
      <c r="C9" s="319"/>
      <c r="D9" s="319"/>
      <c r="E9" s="3">
        <v>40</v>
      </c>
      <c r="F9" s="3" t="s">
        <v>131</v>
      </c>
      <c r="G9" s="86"/>
    </row>
    <row r="10" spans="1:7" x14ac:dyDescent="0.25">
      <c r="A10" s="3"/>
      <c r="B10" s="3"/>
      <c r="C10" s="3"/>
      <c r="D10" s="3"/>
      <c r="E10" s="3"/>
      <c r="F10" s="3"/>
      <c r="G10" s="86"/>
    </row>
    <row r="11" spans="1:7" x14ac:dyDescent="0.25">
      <c r="A11" s="319" t="s">
        <v>201</v>
      </c>
      <c r="B11" s="319"/>
      <c r="C11" s="319"/>
      <c r="D11" s="319"/>
      <c r="E11" s="319"/>
      <c r="F11" s="319"/>
      <c r="G11" s="86"/>
    </row>
    <row r="12" spans="1:7" x14ac:dyDescent="0.25">
      <c r="A12" s="319" t="s">
        <v>134</v>
      </c>
      <c r="B12" s="319"/>
      <c r="C12" s="319"/>
      <c r="D12" s="319"/>
      <c r="E12" s="319"/>
      <c r="F12" s="319"/>
      <c r="G12" s="319"/>
    </row>
    <row r="13" spans="1:7" x14ac:dyDescent="0.25">
      <c r="A13" s="319" t="s">
        <v>160</v>
      </c>
      <c r="B13" s="319"/>
      <c r="C13" s="319"/>
      <c r="D13" s="319"/>
      <c r="E13" s="319"/>
      <c r="F13" s="319"/>
      <c r="G13" s="3"/>
    </row>
    <row r="14" spans="1:7" x14ac:dyDescent="0.25">
      <c r="A14" s="86"/>
      <c r="B14" s="86"/>
      <c r="C14" s="86"/>
      <c r="D14" s="3">
        <v>100</v>
      </c>
      <c r="E14" s="3" t="s">
        <v>131</v>
      </c>
      <c r="F14" s="3"/>
      <c r="G14" s="3"/>
    </row>
    <row r="15" spans="1:7" x14ac:dyDescent="0.25">
      <c r="A15" s="319" t="s">
        <v>202</v>
      </c>
      <c r="B15" s="319"/>
      <c r="C15" s="319"/>
      <c r="D15" s="319"/>
      <c r="E15" s="319"/>
      <c r="F15" s="319"/>
      <c r="G15" s="3"/>
    </row>
    <row r="16" spans="1:7" x14ac:dyDescent="0.25">
      <c r="A16" s="5">
        <f>E9+D14</f>
        <v>140</v>
      </c>
      <c r="B16" s="3" t="s">
        <v>405</v>
      </c>
      <c r="C16" s="7">
        <f>A16/100*D5</f>
        <v>135.91767111270676</v>
      </c>
      <c r="D16" s="190"/>
      <c r="E16" s="190"/>
      <c r="F16" s="190"/>
      <c r="G16" s="87"/>
    </row>
    <row r="17" spans="1:7" x14ac:dyDescent="0.25">
      <c r="A17" s="319" t="s">
        <v>203</v>
      </c>
      <c r="B17" s="319"/>
      <c r="C17" s="319"/>
      <c r="D17" s="319"/>
      <c r="E17" s="319"/>
      <c r="F17" s="319"/>
      <c r="G17" s="3"/>
    </row>
    <row r="18" spans="1:7" x14ac:dyDescent="0.25">
      <c r="A18" s="5">
        <f>E9+D14</f>
        <v>140</v>
      </c>
      <c r="B18" s="190" t="s">
        <v>406</v>
      </c>
      <c r="C18" s="7">
        <f>A18/100*D7</f>
        <v>4.0823288872932251</v>
      </c>
      <c r="D18" s="5" t="s">
        <v>204</v>
      </c>
      <c r="E18" s="3"/>
      <c r="F18" s="3"/>
      <c r="G18" s="3"/>
    </row>
    <row r="19" spans="1:7" x14ac:dyDescent="0.25">
      <c r="A19" s="86"/>
      <c r="B19" s="86"/>
      <c r="C19" s="86"/>
      <c r="D19" s="3"/>
      <c r="E19" s="3"/>
      <c r="F19" s="3"/>
      <c r="G19" s="3"/>
    </row>
    <row r="20" spans="1:7" x14ac:dyDescent="0.25">
      <c r="A20" s="322" t="s">
        <v>205</v>
      </c>
      <c r="B20" s="322"/>
      <c r="C20" s="322"/>
      <c r="D20" s="322"/>
      <c r="E20" s="5">
        <f>A5-C16</f>
        <v>2348.6582870754469</v>
      </c>
      <c r="F20" s="3" t="s">
        <v>131</v>
      </c>
      <c r="G20" s="86"/>
    </row>
    <row r="21" spans="1:7" x14ac:dyDescent="0.25">
      <c r="A21" s="86"/>
      <c r="B21" s="86"/>
      <c r="C21" s="86"/>
      <c r="D21" s="86"/>
      <c r="E21" s="86"/>
      <c r="F21" s="86"/>
      <c r="G21" s="86"/>
    </row>
    <row r="22" spans="1:7" x14ac:dyDescent="0.25">
      <c r="A22" s="322" t="s">
        <v>206</v>
      </c>
      <c r="B22" s="322"/>
      <c r="C22" s="322"/>
      <c r="D22" s="322"/>
      <c r="E22" s="5">
        <f>A7-C18</f>
        <v>70.54267111270677</v>
      </c>
      <c r="F22" s="3" t="s">
        <v>131</v>
      </c>
      <c r="G22" s="86"/>
    </row>
    <row r="23" spans="1:7" x14ac:dyDescent="0.25">
      <c r="A23" s="86"/>
      <c r="B23" s="86"/>
      <c r="C23" s="86"/>
      <c r="D23" s="86"/>
      <c r="E23" s="86"/>
      <c r="F23" s="86"/>
      <c r="G23" s="86"/>
    </row>
    <row r="24" spans="1:7" x14ac:dyDescent="0.25">
      <c r="A24" s="319" t="s">
        <v>137</v>
      </c>
      <c r="B24" s="319"/>
      <c r="C24" s="319"/>
      <c r="D24" s="319"/>
      <c r="E24" s="319"/>
      <c r="F24" s="298">
        <f>'[1]Автокран "Урал"'!$F$28</f>
        <v>148630.5</v>
      </c>
      <c r="G24" s="3" t="s">
        <v>98</v>
      </c>
    </row>
    <row r="25" spans="1:7" x14ac:dyDescent="0.25">
      <c r="A25" s="86"/>
      <c r="B25" s="86"/>
      <c r="C25" s="3"/>
      <c r="D25" s="3"/>
      <c r="E25" s="3"/>
      <c r="F25" s="87"/>
      <c r="G25" s="87"/>
    </row>
    <row r="26" spans="1:7" ht="15.75" thickBot="1" x14ac:dyDescent="0.3">
      <c r="A26" s="378" t="s">
        <v>138</v>
      </c>
      <c r="B26" s="376" t="s">
        <v>139</v>
      </c>
      <c r="C26" s="376"/>
      <c r="D26" s="376"/>
      <c r="E26" s="3"/>
      <c r="F26" s="87"/>
      <c r="G26" s="87"/>
    </row>
    <row r="27" spans="1:7" x14ac:dyDescent="0.25">
      <c r="A27" s="378"/>
      <c r="B27" s="377" t="s">
        <v>140</v>
      </c>
      <c r="C27" s="377"/>
      <c r="D27" s="377"/>
      <c r="E27" s="3"/>
      <c r="F27" s="87"/>
      <c r="G27" s="87"/>
    </row>
    <row r="28" spans="1:7" x14ac:dyDescent="0.25">
      <c r="A28" s="90"/>
      <c r="B28" s="91"/>
      <c r="C28" s="91"/>
      <c r="D28" s="91"/>
      <c r="E28" s="3"/>
      <c r="F28" s="87"/>
      <c r="G28" s="87"/>
    </row>
    <row r="29" spans="1:7" ht="15.75" thickBot="1" x14ac:dyDescent="0.3">
      <c r="A29" s="375" t="s">
        <v>141</v>
      </c>
      <c r="B29" s="375"/>
      <c r="C29" s="376" t="s">
        <v>142</v>
      </c>
      <c r="D29" s="376"/>
      <c r="E29" s="376"/>
      <c r="F29" s="87"/>
      <c r="G29" s="87"/>
    </row>
    <row r="30" spans="1:7" x14ac:dyDescent="0.25">
      <c r="A30" s="375"/>
      <c r="B30" s="375"/>
      <c r="C30" s="377" t="s">
        <v>140</v>
      </c>
      <c r="D30" s="377"/>
      <c r="E30" s="377"/>
      <c r="F30" s="87"/>
      <c r="G30" s="87"/>
    </row>
    <row r="31" spans="1:7" x14ac:dyDescent="0.25">
      <c r="A31" s="9"/>
      <c r="B31" s="9"/>
      <c r="C31" s="92"/>
      <c r="D31" s="92"/>
      <c r="E31" s="92"/>
      <c r="F31" s="87"/>
      <c r="G31" s="87"/>
    </row>
    <row r="32" spans="1:7" x14ac:dyDescent="0.25">
      <c r="A32" s="9"/>
      <c r="B32" s="9"/>
      <c r="C32" s="92"/>
      <c r="D32" s="92"/>
      <c r="E32" s="323" t="s">
        <v>12</v>
      </c>
      <c r="F32" s="323"/>
      <c r="G32" s="87"/>
    </row>
    <row r="33" spans="1:7" x14ac:dyDescent="0.25">
      <c r="A33" s="324" t="s">
        <v>207</v>
      </c>
      <c r="B33" s="324"/>
      <c r="C33" s="324"/>
      <c r="D33" s="324"/>
      <c r="E33" s="324"/>
      <c r="F33" s="324"/>
      <c r="G33" s="87"/>
    </row>
    <row r="34" spans="1:7" x14ac:dyDescent="0.25">
      <c r="A34" s="380"/>
      <c r="B34" s="382" t="s">
        <v>15</v>
      </c>
      <c r="C34" s="383"/>
      <c r="D34" s="383"/>
      <c r="E34" s="384" t="s">
        <v>145</v>
      </c>
      <c r="F34" s="384"/>
      <c r="G34" s="93"/>
    </row>
    <row r="35" spans="1:7" ht="45" x14ac:dyDescent="0.25">
      <c r="A35" s="381"/>
      <c r="B35" s="94" t="s">
        <v>146</v>
      </c>
      <c r="C35" s="94" t="s">
        <v>147</v>
      </c>
      <c r="D35" s="95" t="s">
        <v>148</v>
      </c>
      <c r="E35" s="94" t="s">
        <v>149</v>
      </c>
      <c r="F35" s="94" t="s">
        <v>150</v>
      </c>
      <c r="G35" s="96"/>
    </row>
    <row r="36" spans="1:7" x14ac:dyDescent="0.25">
      <c r="A36" s="97" t="s">
        <v>352</v>
      </c>
      <c r="B36" s="191">
        <v>0</v>
      </c>
      <c r="C36" s="192">
        <f>F24/100*D7</f>
        <v>4333.9898834488267</v>
      </c>
      <c r="D36" s="193">
        <f>E22</f>
        <v>70.54267111270677</v>
      </c>
      <c r="E36" s="192">
        <f>B36/D36</f>
        <v>0</v>
      </c>
      <c r="F36" s="191">
        <f>C36/D36*5</f>
        <v>307.18923844862394</v>
      </c>
      <c r="G36" s="12"/>
    </row>
    <row r="37" spans="1:7" x14ac:dyDescent="0.25">
      <c r="A37" s="194" t="s">
        <v>351</v>
      </c>
      <c r="B37" s="191">
        <v>0</v>
      </c>
      <c r="C37" s="195">
        <f>F24/100*D5</f>
        <v>144296.51011655119</v>
      </c>
      <c r="D37" s="195">
        <f>E20</f>
        <v>2348.6582870754469</v>
      </c>
      <c r="E37" s="192">
        <f>B37/D37</f>
        <v>0</v>
      </c>
      <c r="F37" s="191">
        <f>C37/D37*5</f>
        <v>307.18923844862388</v>
      </c>
      <c r="G37" s="87"/>
    </row>
    <row r="38" spans="1:7" x14ac:dyDescent="0.25">
      <c r="A38" s="32" t="s">
        <v>208</v>
      </c>
      <c r="B38" s="196" t="s">
        <v>29</v>
      </c>
      <c r="C38" s="197">
        <f>SUM(C36:C37)</f>
        <v>148630.5</v>
      </c>
      <c r="D38" s="197">
        <f>SUM(D36:D37)</f>
        <v>2419.2009581881534</v>
      </c>
      <c r="E38" s="196" t="s">
        <v>29</v>
      </c>
      <c r="F38" s="197">
        <f>F36+F37</f>
        <v>614.37847689724777</v>
      </c>
      <c r="G38" s="87"/>
    </row>
    <row r="39" spans="1:7" x14ac:dyDescent="0.25">
      <c r="A39" s="87"/>
      <c r="B39" s="87"/>
      <c r="C39" s="87"/>
      <c r="D39" s="87"/>
      <c r="E39" s="87"/>
      <c r="F39" s="87"/>
      <c r="G39" s="87"/>
    </row>
    <row r="40" spans="1:7" x14ac:dyDescent="0.25">
      <c r="A40" s="87"/>
      <c r="B40" s="87"/>
      <c r="C40" s="87"/>
      <c r="D40" s="87"/>
      <c r="E40" s="87"/>
      <c r="F40" s="87"/>
      <c r="G40" s="87"/>
    </row>
    <row r="41" spans="1:7" ht="15.75" x14ac:dyDescent="0.25">
      <c r="A41" s="385" t="s">
        <v>55</v>
      </c>
      <c r="B41" s="385"/>
      <c r="C41" s="385"/>
      <c r="D41" s="31"/>
      <c r="E41" s="343" t="s">
        <v>57</v>
      </c>
      <c r="F41" s="343"/>
      <c r="G41" s="343"/>
    </row>
    <row r="42" spans="1:7" ht="15.75" x14ac:dyDescent="0.25">
      <c r="A42" s="379" t="s">
        <v>56</v>
      </c>
      <c r="B42" s="379"/>
      <c r="C42" s="379"/>
      <c r="D42" s="31"/>
      <c r="E42" s="31"/>
      <c r="F42" s="84"/>
      <c r="G42" s="31"/>
    </row>
  </sheetData>
  <mergeCells count="30">
    <mergeCell ref="A41:C41"/>
    <mergeCell ref="E41:G41"/>
    <mergeCell ref="A42:C42"/>
    <mergeCell ref="A29:B30"/>
    <mergeCell ref="C29:E29"/>
    <mergeCell ref="C30:E30"/>
    <mergeCell ref="E32:F32"/>
    <mergeCell ref="A33:F33"/>
    <mergeCell ref="A34:A35"/>
    <mergeCell ref="B34:D34"/>
    <mergeCell ref="E34:F34"/>
    <mergeCell ref="A17:F17"/>
    <mergeCell ref="A20:D20"/>
    <mergeCell ref="A22:D22"/>
    <mergeCell ref="A24:E24"/>
    <mergeCell ref="A26:A27"/>
    <mergeCell ref="B26:D26"/>
    <mergeCell ref="B27:D27"/>
    <mergeCell ref="A15:F15"/>
    <mergeCell ref="A1:G1"/>
    <mergeCell ref="A2:F2"/>
    <mergeCell ref="B3:C3"/>
    <mergeCell ref="A4:F4"/>
    <mergeCell ref="B5:C5"/>
    <mergeCell ref="A6:F6"/>
    <mergeCell ref="B7:C7"/>
    <mergeCell ref="A9:D9"/>
    <mergeCell ref="A11:F11"/>
    <mergeCell ref="A12:G12"/>
    <mergeCell ref="A13:F13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54"/>
  <sheetViews>
    <sheetView topLeftCell="A10" workbookViewId="0">
      <selection activeCell="K45" sqref="K45"/>
    </sheetView>
  </sheetViews>
  <sheetFormatPr defaultRowHeight="15" x14ac:dyDescent="0.25"/>
  <cols>
    <col min="1" max="1" width="4.85546875" customWidth="1"/>
    <col min="2" max="2" width="32.5703125" customWidth="1"/>
    <col min="3" max="3" width="9.85546875" customWidth="1"/>
    <col min="4" max="4" width="13.7109375" customWidth="1"/>
    <col min="5" max="5" width="12" customWidth="1"/>
    <col min="6" max="6" width="14.7109375" customWidth="1"/>
    <col min="7" max="7" width="9.85546875" customWidth="1"/>
  </cols>
  <sheetData>
    <row r="1" spans="1:7" ht="14.25" customHeight="1" x14ac:dyDescent="0.25">
      <c r="A1" s="31"/>
      <c r="B1" s="31"/>
      <c r="C1" s="290"/>
      <c r="D1" s="290"/>
      <c r="E1" s="63"/>
      <c r="F1" s="63"/>
      <c r="G1" s="64" t="s">
        <v>59</v>
      </c>
    </row>
    <row r="2" spans="1:7" ht="14.25" customHeight="1" x14ac:dyDescent="0.25">
      <c r="A2" s="31"/>
      <c r="B2" s="31"/>
      <c r="C2" s="290"/>
      <c r="D2" s="290"/>
      <c r="E2" s="63"/>
      <c r="F2" s="63"/>
      <c r="G2" s="64" t="s">
        <v>60</v>
      </c>
    </row>
    <row r="3" spans="1:7" ht="14.25" customHeight="1" x14ac:dyDescent="0.25">
      <c r="A3" s="31"/>
      <c r="B3" s="31"/>
      <c r="C3" s="290"/>
      <c r="D3" s="290"/>
      <c r="E3" s="63"/>
      <c r="F3" s="63"/>
      <c r="G3" s="64" t="s">
        <v>388</v>
      </c>
    </row>
    <row r="4" spans="1:7" ht="14.25" customHeight="1" x14ac:dyDescent="0.25">
      <c r="A4" s="31"/>
      <c r="B4" s="31"/>
      <c r="C4" s="290"/>
      <c r="D4" s="290"/>
      <c r="E4" s="63"/>
      <c r="F4" s="63"/>
      <c r="G4" s="64" t="s">
        <v>389</v>
      </c>
    </row>
    <row r="5" spans="1:7" ht="14.25" customHeight="1" x14ac:dyDescent="0.25">
      <c r="A5" s="31"/>
      <c r="B5" s="31"/>
      <c r="C5" s="290"/>
      <c r="D5" s="290"/>
      <c r="E5" s="31"/>
      <c r="F5" s="42"/>
      <c r="G5" s="31"/>
    </row>
    <row r="6" spans="1:7" ht="14.25" customHeight="1" x14ac:dyDescent="0.25">
      <c r="A6" s="396" t="s">
        <v>93</v>
      </c>
      <c r="B6" s="396"/>
      <c r="C6" s="396"/>
      <c r="D6" s="396"/>
      <c r="E6" s="396"/>
      <c r="F6" s="396"/>
      <c r="G6" s="396"/>
    </row>
    <row r="7" spans="1:7" ht="14.25" customHeight="1" x14ac:dyDescent="0.25">
      <c r="A7" s="396" t="s">
        <v>211</v>
      </c>
      <c r="B7" s="396"/>
      <c r="C7" s="396"/>
      <c r="D7" s="396"/>
      <c r="E7" s="396"/>
      <c r="F7" s="396"/>
      <c r="G7" s="396"/>
    </row>
    <row r="8" spans="1:7" ht="14.25" customHeight="1" x14ac:dyDescent="0.25">
      <c r="A8" s="353" t="s">
        <v>13</v>
      </c>
      <c r="B8" s="390" t="s">
        <v>95</v>
      </c>
      <c r="C8" s="391"/>
      <c r="D8" s="391"/>
      <c r="E8" s="392"/>
      <c r="F8" s="357" t="s">
        <v>96</v>
      </c>
      <c r="G8" s="357"/>
    </row>
    <row r="9" spans="1:7" ht="14.25" customHeight="1" x14ac:dyDescent="0.25">
      <c r="A9" s="354"/>
      <c r="B9" s="393"/>
      <c r="C9" s="394"/>
      <c r="D9" s="394"/>
      <c r="E9" s="395"/>
      <c r="F9" s="65" t="s">
        <v>97</v>
      </c>
      <c r="G9" s="88" t="s">
        <v>62</v>
      </c>
    </row>
    <row r="10" spans="1:7" ht="14.25" customHeight="1" x14ac:dyDescent="0.25">
      <c r="A10" s="109"/>
      <c r="B10" s="305" t="s">
        <v>126</v>
      </c>
      <c r="C10" s="306"/>
      <c r="D10" s="307"/>
      <c r="E10" s="109"/>
      <c r="F10" s="112">
        <v>62.85</v>
      </c>
      <c r="G10" s="113" t="s">
        <v>98</v>
      </c>
    </row>
    <row r="11" spans="1:7" ht="6" customHeight="1" x14ac:dyDescent="0.25">
      <c r="A11" s="109"/>
      <c r="B11" s="109"/>
      <c r="C11" s="109"/>
      <c r="D11" s="109"/>
      <c r="E11" s="109"/>
      <c r="F11" s="112"/>
      <c r="G11" s="113"/>
    </row>
    <row r="12" spans="1:7" ht="14.25" customHeight="1" x14ac:dyDescent="0.25">
      <c r="A12" s="109"/>
      <c r="B12" s="109" t="s">
        <v>99</v>
      </c>
      <c r="C12" s="109"/>
      <c r="D12" s="109"/>
      <c r="E12" s="138">
        <v>0.25</v>
      </c>
      <c r="F12" s="112">
        <v>15.7125</v>
      </c>
      <c r="G12" s="113" t="s">
        <v>98</v>
      </c>
    </row>
    <row r="13" spans="1:7" ht="6" customHeight="1" x14ac:dyDescent="0.25">
      <c r="A13" s="109"/>
      <c r="B13" s="109"/>
      <c r="C13" s="109"/>
      <c r="D13" s="109"/>
      <c r="E13" s="109"/>
      <c r="F13" s="112"/>
      <c r="G13" s="113"/>
    </row>
    <row r="14" spans="1:7" ht="14.25" customHeight="1" x14ac:dyDescent="0.25">
      <c r="A14" s="109"/>
      <c r="B14" s="109" t="s">
        <v>100</v>
      </c>
      <c r="C14" s="109"/>
      <c r="D14" s="109"/>
      <c r="E14" s="138">
        <v>0.1</v>
      </c>
      <c r="F14" s="112">
        <v>6.2850000000000001</v>
      </c>
      <c r="G14" s="113" t="str">
        <f>G12</f>
        <v>руб.</v>
      </c>
    </row>
    <row r="15" spans="1:7" ht="6" customHeight="1" x14ac:dyDescent="0.25">
      <c r="A15" s="109"/>
      <c r="B15" s="109"/>
      <c r="C15" s="109"/>
      <c r="D15" s="109"/>
      <c r="E15" s="109"/>
      <c r="F15" s="112"/>
      <c r="G15" s="113"/>
    </row>
    <row r="16" spans="1:7" ht="14.25" customHeight="1" x14ac:dyDescent="0.25">
      <c r="A16" s="109"/>
      <c r="B16" s="109" t="s">
        <v>209</v>
      </c>
      <c r="C16" s="109"/>
      <c r="D16" s="109"/>
      <c r="E16" s="138">
        <v>0.04</v>
      </c>
      <c r="F16" s="112">
        <v>2.5140000000000002</v>
      </c>
      <c r="G16" s="113" t="s">
        <v>98</v>
      </c>
    </row>
    <row r="17" spans="1:7" ht="6" customHeight="1" x14ac:dyDescent="0.25">
      <c r="A17" s="109"/>
      <c r="B17" s="109"/>
      <c r="C17" s="109"/>
      <c r="D17" s="109"/>
      <c r="E17" s="109"/>
      <c r="F17" s="112"/>
      <c r="G17" s="113"/>
    </row>
    <row r="18" spans="1:7" ht="14.25" customHeight="1" x14ac:dyDescent="0.25">
      <c r="A18" s="109"/>
      <c r="B18" s="109" t="s">
        <v>101</v>
      </c>
      <c r="C18" s="109"/>
      <c r="D18" s="109"/>
      <c r="E18" s="138">
        <v>0.4</v>
      </c>
      <c r="F18" s="112">
        <v>25.14</v>
      </c>
      <c r="G18" s="113" t="s">
        <v>98</v>
      </c>
    </row>
    <row r="19" spans="1:7" ht="6" customHeight="1" x14ac:dyDescent="0.25">
      <c r="A19" s="109"/>
      <c r="B19" s="109"/>
      <c r="C19" s="109"/>
      <c r="D19" s="109"/>
      <c r="E19" s="138"/>
      <c r="F19" s="112"/>
      <c r="G19" s="113"/>
    </row>
    <row r="20" spans="1:7" ht="14.25" customHeight="1" x14ac:dyDescent="0.25">
      <c r="A20" s="109"/>
      <c r="B20" s="109" t="s">
        <v>102</v>
      </c>
      <c r="C20" s="109"/>
      <c r="D20" s="109"/>
      <c r="E20" s="109"/>
      <c r="F20" s="112">
        <v>60</v>
      </c>
      <c r="G20" s="113" t="s">
        <v>103</v>
      </c>
    </row>
    <row r="21" spans="1:7" ht="14.25" customHeight="1" x14ac:dyDescent="0.25">
      <c r="A21" s="109"/>
      <c r="B21" s="109"/>
      <c r="C21" s="109"/>
      <c r="D21" s="109"/>
      <c r="E21" s="109"/>
      <c r="F21" s="112"/>
      <c r="G21" s="109"/>
    </row>
    <row r="22" spans="1:7" ht="14.25" customHeight="1" x14ac:dyDescent="0.25">
      <c r="A22" s="117">
        <v>1</v>
      </c>
      <c r="B22" s="118" t="s">
        <v>104</v>
      </c>
      <c r="C22" s="118"/>
      <c r="D22" s="118"/>
      <c r="E22" s="118"/>
      <c r="F22" s="121">
        <v>112.50149999999999</v>
      </c>
      <c r="G22" s="117" t="s">
        <v>98</v>
      </c>
    </row>
    <row r="23" spans="1:7" ht="14.25" customHeight="1" x14ac:dyDescent="0.25">
      <c r="A23" s="117"/>
      <c r="B23" s="118"/>
      <c r="C23" s="118"/>
      <c r="D23" s="109"/>
      <c r="E23" s="109"/>
      <c r="F23" s="112"/>
      <c r="G23" s="113"/>
    </row>
    <row r="24" spans="1:7" ht="14.25" customHeight="1" x14ac:dyDescent="0.25">
      <c r="A24" s="117">
        <v>2</v>
      </c>
      <c r="B24" s="118" t="s">
        <v>105</v>
      </c>
      <c r="C24" s="118"/>
      <c r="D24" s="118"/>
      <c r="E24" s="139">
        <v>0.30199999999999999</v>
      </c>
      <c r="F24" s="121">
        <v>33.975452999999995</v>
      </c>
      <c r="G24" s="117" t="s">
        <v>98</v>
      </c>
    </row>
    <row r="25" spans="1:7" ht="14.25" customHeight="1" x14ac:dyDescent="0.25">
      <c r="A25" s="117"/>
      <c r="B25" s="118"/>
      <c r="C25" s="118"/>
      <c r="D25" s="109"/>
      <c r="E25" s="138"/>
      <c r="F25" s="112"/>
      <c r="G25" s="113"/>
    </row>
    <row r="26" spans="1:7" ht="14.25" customHeight="1" x14ac:dyDescent="0.25">
      <c r="A26" s="117">
        <v>3</v>
      </c>
      <c r="B26" s="118" t="s">
        <v>106</v>
      </c>
      <c r="C26" s="310" t="s">
        <v>212</v>
      </c>
      <c r="D26" s="311"/>
      <c r="E26" s="139"/>
      <c r="F26" s="121">
        <v>0</v>
      </c>
      <c r="G26" s="117" t="s">
        <v>98</v>
      </c>
    </row>
    <row r="27" spans="1:7" ht="14.25" customHeight="1" x14ac:dyDescent="0.25">
      <c r="A27" s="117"/>
      <c r="B27" s="118"/>
      <c r="C27" s="118"/>
      <c r="D27" s="109"/>
      <c r="E27" s="138"/>
      <c r="F27" s="112"/>
      <c r="G27" s="113"/>
    </row>
    <row r="28" spans="1:7" ht="14.25" customHeight="1" x14ac:dyDescent="0.25">
      <c r="A28" s="117">
        <v>4</v>
      </c>
      <c r="B28" s="118" t="s">
        <v>108</v>
      </c>
      <c r="C28" s="118"/>
      <c r="D28" s="118"/>
      <c r="E28" s="139"/>
      <c r="F28" s="121">
        <v>143.86480312466358</v>
      </c>
      <c r="G28" s="117" t="s">
        <v>98</v>
      </c>
    </row>
    <row r="29" spans="1:7" ht="6" customHeight="1" x14ac:dyDescent="0.25">
      <c r="A29" s="117"/>
      <c r="B29" s="118"/>
      <c r="C29" s="118"/>
      <c r="D29" s="109"/>
      <c r="E29" s="138"/>
      <c r="F29" s="112"/>
      <c r="G29" s="113"/>
    </row>
    <row r="30" spans="1:7" ht="14.25" customHeight="1" x14ac:dyDescent="0.25">
      <c r="A30" s="117">
        <v>5</v>
      </c>
      <c r="B30" s="118" t="s">
        <v>109</v>
      </c>
      <c r="C30" s="305" t="s">
        <v>213</v>
      </c>
      <c r="D30" s="307"/>
      <c r="E30" s="199"/>
      <c r="F30" s="112">
        <v>11.639999999999999</v>
      </c>
      <c r="G30" s="113" t="s">
        <v>111</v>
      </c>
    </row>
    <row r="31" spans="1:7" ht="14.25" customHeight="1" x14ac:dyDescent="0.25">
      <c r="A31" s="117"/>
      <c r="B31" s="118"/>
      <c r="C31" s="305" t="s">
        <v>214</v>
      </c>
      <c r="D31" s="307"/>
      <c r="E31" s="123"/>
      <c r="F31" s="108">
        <v>3.4</v>
      </c>
      <c r="G31" s="113" t="s">
        <v>111</v>
      </c>
    </row>
    <row r="32" spans="1:7" ht="14.25" customHeight="1" x14ac:dyDescent="0.25">
      <c r="A32" s="117"/>
      <c r="B32" s="118"/>
      <c r="C32" s="309">
        <v>15.04</v>
      </c>
      <c r="D32" s="312"/>
      <c r="E32" s="125">
        <v>36.67</v>
      </c>
      <c r="F32" s="126">
        <v>551.51679999999999</v>
      </c>
      <c r="G32" s="117" t="s">
        <v>98</v>
      </c>
    </row>
    <row r="33" spans="1:7" ht="14.25" customHeight="1" x14ac:dyDescent="0.25">
      <c r="A33" s="117"/>
      <c r="B33" s="118"/>
      <c r="C33" s="118"/>
      <c r="D33" s="109"/>
      <c r="E33" s="138"/>
      <c r="F33" s="112"/>
      <c r="G33" s="113"/>
    </row>
    <row r="34" spans="1:7" ht="14.25" customHeight="1" x14ac:dyDescent="0.25">
      <c r="A34" s="117">
        <v>6</v>
      </c>
      <c r="B34" s="118" t="s">
        <v>112</v>
      </c>
      <c r="C34" s="118"/>
      <c r="D34" s="109"/>
      <c r="E34" s="109"/>
      <c r="F34" s="112"/>
      <c r="G34" s="113"/>
    </row>
    <row r="35" spans="1:7" ht="14.25" customHeight="1" x14ac:dyDescent="0.25">
      <c r="A35" s="117"/>
      <c r="B35" s="109" t="s">
        <v>113</v>
      </c>
      <c r="C35" s="200">
        <v>2.1000000000000001E-2</v>
      </c>
      <c r="D35" s="129" t="s">
        <v>114</v>
      </c>
      <c r="E35" s="312">
        <v>186.99</v>
      </c>
      <c r="F35" s="112">
        <v>59.058921600000005</v>
      </c>
      <c r="G35" s="113" t="s">
        <v>98</v>
      </c>
    </row>
    <row r="36" spans="1:7" ht="14.25" customHeight="1" x14ac:dyDescent="0.25">
      <c r="A36" s="117"/>
      <c r="B36" s="109" t="s">
        <v>115</v>
      </c>
      <c r="C36" s="200">
        <v>3.0000000000000001E-3</v>
      </c>
      <c r="D36" s="131" t="s">
        <v>116</v>
      </c>
      <c r="E36" s="312">
        <v>107.82</v>
      </c>
      <c r="F36" s="112">
        <v>4.8648384</v>
      </c>
      <c r="G36" s="113" t="s">
        <v>98</v>
      </c>
    </row>
    <row r="37" spans="1:7" ht="14.25" customHeight="1" x14ac:dyDescent="0.25">
      <c r="A37" s="117"/>
      <c r="B37" s="109" t="s">
        <v>117</v>
      </c>
      <c r="C37" s="200">
        <v>1E-3</v>
      </c>
      <c r="D37" s="131" t="s">
        <v>116</v>
      </c>
      <c r="E37" s="201">
        <v>75.260000000000005</v>
      </c>
      <c r="F37" s="112">
        <v>1.1319104</v>
      </c>
      <c r="G37" s="113" t="s">
        <v>98</v>
      </c>
    </row>
    <row r="38" spans="1:7" ht="14.25" customHeight="1" x14ac:dyDescent="0.25">
      <c r="A38" s="117"/>
      <c r="B38" s="109" t="s">
        <v>118</v>
      </c>
      <c r="C38" s="202">
        <v>3.0000000000000001E-3</v>
      </c>
      <c r="D38" s="133" t="s">
        <v>166</v>
      </c>
      <c r="E38" s="312">
        <v>132.04</v>
      </c>
      <c r="F38" s="112">
        <v>5.9576447999999997</v>
      </c>
      <c r="G38" s="113" t="s">
        <v>98</v>
      </c>
    </row>
    <row r="39" spans="1:7" ht="14.25" customHeight="1" x14ac:dyDescent="0.25">
      <c r="A39" s="117"/>
      <c r="B39" s="109" t="s">
        <v>119</v>
      </c>
      <c r="C39" s="118"/>
      <c r="D39" s="162"/>
      <c r="E39" s="117"/>
      <c r="F39" s="121">
        <v>71.013315199999994</v>
      </c>
      <c r="G39" s="117" t="s">
        <v>98</v>
      </c>
    </row>
    <row r="40" spans="1:7" ht="6" customHeight="1" x14ac:dyDescent="0.25">
      <c r="A40" s="117"/>
      <c r="B40" s="109"/>
      <c r="C40" s="109"/>
      <c r="D40" s="109"/>
      <c r="E40" s="138"/>
      <c r="F40" s="112"/>
      <c r="G40" s="113"/>
    </row>
    <row r="41" spans="1:7" ht="14.25" customHeight="1" x14ac:dyDescent="0.25">
      <c r="A41" s="117">
        <v>7</v>
      </c>
      <c r="B41" s="118" t="s">
        <v>120</v>
      </c>
      <c r="C41" s="118"/>
      <c r="D41" s="118"/>
      <c r="E41" s="122">
        <v>0.6</v>
      </c>
      <c r="F41" s="121">
        <v>67.500899999999987</v>
      </c>
      <c r="G41" s="117" t="s">
        <v>98</v>
      </c>
    </row>
    <row r="42" spans="1:7" ht="14.25" customHeight="1" x14ac:dyDescent="0.25">
      <c r="A42" s="113"/>
      <c r="B42" s="109"/>
      <c r="C42" s="109"/>
      <c r="D42" s="109"/>
      <c r="E42" s="138"/>
      <c r="F42" s="112"/>
      <c r="G42" s="113"/>
    </row>
    <row r="43" spans="1:7" ht="14.25" customHeight="1" x14ac:dyDescent="0.25">
      <c r="A43" s="117">
        <v>8</v>
      </c>
      <c r="B43" s="118" t="s">
        <v>121</v>
      </c>
      <c r="C43" s="118"/>
      <c r="D43" s="118"/>
      <c r="E43" s="139"/>
      <c r="F43" s="121">
        <v>980.37277132466352</v>
      </c>
      <c r="G43" s="117" t="s">
        <v>98</v>
      </c>
    </row>
    <row r="44" spans="1:7" ht="14.25" customHeight="1" x14ac:dyDescent="0.25">
      <c r="A44" s="117"/>
      <c r="B44" s="118"/>
      <c r="C44" s="118"/>
      <c r="D44" s="118"/>
      <c r="E44" s="139"/>
      <c r="F44" s="121"/>
      <c r="G44" s="117"/>
    </row>
    <row r="45" spans="1:7" ht="14.25" customHeight="1" x14ac:dyDescent="0.25">
      <c r="A45" s="117">
        <v>9</v>
      </c>
      <c r="B45" s="118" t="s">
        <v>122</v>
      </c>
      <c r="C45" s="118"/>
      <c r="D45" s="118"/>
      <c r="E45" s="139"/>
      <c r="F45" s="121"/>
      <c r="G45" s="117"/>
    </row>
    <row r="46" spans="1:7" ht="14.25" customHeight="1" x14ac:dyDescent="0.25">
      <c r="A46" s="113"/>
      <c r="B46" s="109" t="s">
        <v>123</v>
      </c>
      <c r="C46" s="109"/>
      <c r="D46" s="109"/>
      <c r="E46" s="138">
        <v>0.1</v>
      </c>
      <c r="F46" s="112">
        <v>98.037277132466357</v>
      </c>
      <c r="G46" s="113" t="s">
        <v>98</v>
      </c>
    </row>
    <row r="47" spans="1:7" ht="14.25" customHeight="1" x14ac:dyDescent="0.25">
      <c r="A47" s="113"/>
      <c r="B47" s="109" t="s">
        <v>124</v>
      </c>
      <c r="C47" s="113"/>
      <c r="D47" s="113"/>
      <c r="E47" s="138">
        <v>0.15</v>
      </c>
      <c r="F47" s="112">
        <v>147.05591569869952</v>
      </c>
      <c r="G47" s="113" t="s">
        <v>98</v>
      </c>
    </row>
    <row r="48" spans="1:7" ht="14.25" customHeight="1" x14ac:dyDescent="0.25">
      <c r="A48" s="117">
        <v>10</v>
      </c>
      <c r="B48" s="315" t="s">
        <v>125</v>
      </c>
      <c r="C48" s="316"/>
      <c r="D48" s="316"/>
      <c r="E48" s="317"/>
      <c r="F48" s="121"/>
      <c r="G48" s="117"/>
    </row>
    <row r="49" spans="1:7" ht="14.25" customHeight="1" x14ac:dyDescent="0.25">
      <c r="A49" s="113"/>
      <c r="B49" s="109" t="s">
        <v>123</v>
      </c>
      <c r="C49" s="109"/>
      <c r="D49" s="109"/>
      <c r="E49" s="138"/>
      <c r="F49" s="121">
        <v>1078.41004845713</v>
      </c>
      <c r="G49" s="117" t="s">
        <v>98</v>
      </c>
    </row>
    <row r="50" spans="1:7" ht="14.25" customHeight="1" x14ac:dyDescent="0.25">
      <c r="A50" s="113"/>
      <c r="B50" s="109" t="s">
        <v>124</v>
      </c>
      <c r="C50" s="113"/>
      <c r="D50" s="113"/>
      <c r="E50" s="138"/>
      <c r="F50" s="121">
        <v>1127.428687023363</v>
      </c>
      <c r="G50" s="117" t="s">
        <v>98</v>
      </c>
    </row>
    <row r="51" spans="1:7" ht="14.25" customHeight="1" x14ac:dyDescent="0.25">
      <c r="A51" s="104"/>
      <c r="B51" s="104"/>
      <c r="C51" s="104"/>
      <c r="D51" s="104"/>
      <c r="E51" s="104"/>
      <c r="F51" s="108"/>
      <c r="G51" s="104"/>
    </row>
    <row r="52" spans="1:7" ht="14.25" customHeight="1" x14ac:dyDescent="0.25">
      <c r="A52" s="104"/>
      <c r="B52" s="104"/>
      <c r="C52" s="104"/>
      <c r="D52" s="104"/>
      <c r="E52" s="104"/>
      <c r="F52" s="108"/>
      <c r="G52" s="104"/>
    </row>
    <row r="53" spans="1:7" ht="14.25" customHeight="1" x14ac:dyDescent="0.25">
      <c r="A53" s="31"/>
      <c r="B53" s="83" t="s">
        <v>55</v>
      </c>
      <c r="C53" s="83"/>
      <c r="D53" s="83"/>
      <c r="E53" s="31"/>
      <c r="F53" s="62" t="s">
        <v>57</v>
      </c>
      <c r="G53" s="31"/>
    </row>
    <row r="54" spans="1:7" ht="14.25" customHeight="1" x14ac:dyDescent="0.25">
      <c r="A54" s="31"/>
      <c r="B54" s="84" t="s">
        <v>56</v>
      </c>
      <c r="C54" s="83"/>
      <c r="D54" s="83"/>
      <c r="E54" s="31"/>
      <c r="F54" s="42"/>
      <c r="G54" s="31"/>
    </row>
  </sheetData>
  <mergeCells count="5">
    <mergeCell ref="A6:G6"/>
    <mergeCell ref="A7:G7"/>
    <mergeCell ref="A8:A9"/>
    <mergeCell ref="B8:E9"/>
    <mergeCell ref="F8:G8"/>
  </mergeCells>
  <pageMargins left="0.25" right="0.25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0"/>
  <sheetViews>
    <sheetView workbookViewId="0">
      <selection activeCell="J17" sqref="J17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20" t="s">
        <v>215</v>
      </c>
      <c r="B1" s="320"/>
      <c r="C1" s="320"/>
      <c r="D1" s="320"/>
      <c r="E1" s="320"/>
      <c r="F1" s="320"/>
      <c r="G1" s="320"/>
    </row>
    <row r="2" spans="1:7" x14ac:dyDescent="0.25">
      <c r="A2" s="319" t="s">
        <v>130</v>
      </c>
      <c r="B2" s="319"/>
      <c r="C2" s="319"/>
      <c r="D2" s="319"/>
      <c r="E2" s="319"/>
      <c r="F2" s="319"/>
      <c r="G2" s="3"/>
    </row>
    <row r="3" spans="1:7" x14ac:dyDescent="0.25">
      <c r="A3" s="87"/>
      <c r="B3" s="5">
        <f>'План. расчет времени'!F28</f>
        <v>727.41467146251227</v>
      </c>
      <c r="C3" s="3" t="s">
        <v>131</v>
      </c>
      <c r="D3" s="3"/>
      <c r="E3" s="3"/>
      <c r="F3" s="3"/>
      <c r="G3" s="3"/>
    </row>
    <row r="4" spans="1:7" x14ac:dyDescent="0.25">
      <c r="A4" s="319" t="s">
        <v>132</v>
      </c>
      <c r="B4" s="319"/>
      <c r="C4" s="319"/>
      <c r="D4" s="319"/>
      <c r="E4" s="319"/>
      <c r="F4" s="319"/>
      <c r="G4" s="86"/>
    </row>
    <row r="5" spans="1:7" x14ac:dyDescent="0.25">
      <c r="A5" s="3"/>
      <c r="B5" s="3">
        <v>40</v>
      </c>
      <c r="C5" s="3" t="s">
        <v>131</v>
      </c>
      <c r="D5" s="3"/>
      <c r="E5" s="3"/>
      <c r="F5" s="3"/>
      <c r="G5" s="86"/>
    </row>
    <row r="6" spans="1:7" x14ac:dyDescent="0.25">
      <c r="A6" s="319" t="s">
        <v>216</v>
      </c>
      <c r="B6" s="319"/>
      <c r="C6" s="319"/>
      <c r="D6" s="319"/>
      <c r="E6" s="319"/>
      <c r="F6" s="319"/>
      <c r="G6" s="86"/>
    </row>
    <row r="7" spans="1:7" x14ac:dyDescent="0.25">
      <c r="A7" s="319" t="s">
        <v>134</v>
      </c>
      <c r="B7" s="319"/>
      <c r="C7" s="319"/>
      <c r="D7" s="319"/>
      <c r="E7" s="319"/>
      <c r="F7" s="319"/>
      <c r="G7" s="319"/>
    </row>
    <row r="8" spans="1:7" x14ac:dyDescent="0.25">
      <c r="A8" s="319" t="s">
        <v>210</v>
      </c>
      <c r="B8" s="319"/>
      <c r="C8" s="319"/>
      <c r="D8" s="319"/>
      <c r="E8" s="319"/>
      <c r="F8" s="319"/>
      <c r="G8" s="3"/>
    </row>
    <row r="9" spans="1:7" x14ac:dyDescent="0.25">
      <c r="A9" s="86"/>
      <c r="B9" s="86"/>
      <c r="C9" s="86"/>
      <c r="D9" s="3">
        <v>120</v>
      </c>
      <c r="E9" s="3" t="s">
        <v>131</v>
      </c>
      <c r="F9" s="3"/>
      <c r="G9" s="3"/>
    </row>
    <row r="10" spans="1:7" x14ac:dyDescent="0.25">
      <c r="A10" s="322" t="s">
        <v>136</v>
      </c>
      <c r="B10" s="322"/>
      <c r="C10" s="322"/>
      <c r="D10" s="5">
        <f>B3-B5-D9</f>
        <v>567.41467146251227</v>
      </c>
      <c r="E10" s="3" t="s">
        <v>131</v>
      </c>
      <c r="F10" s="3"/>
      <c r="G10" s="86"/>
    </row>
    <row r="11" spans="1:7" x14ac:dyDescent="0.25">
      <c r="A11" s="86"/>
      <c r="B11" s="86"/>
      <c r="C11" s="86"/>
      <c r="D11" s="86"/>
      <c r="E11" s="86"/>
      <c r="F11" s="86"/>
      <c r="G11" s="86"/>
    </row>
    <row r="12" spans="1:7" x14ac:dyDescent="0.25">
      <c r="A12" s="319" t="s">
        <v>137</v>
      </c>
      <c r="B12" s="319"/>
      <c r="C12" s="319"/>
      <c r="D12" s="319"/>
      <c r="E12" s="319"/>
      <c r="F12" s="298">
        <f>'[1]АСМ ГАЗ 3307'!$F$31</f>
        <v>81631</v>
      </c>
      <c r="G12" s="3" t="s">
        <v>98</v>
      </c>
    </row>
    <row r="13" spans="1:7" x14ac:dyDescent="0.25">
      <c r="A13" s="86"/>
      <c r="B13" s="86"/>
      <c r="C13" s="3"/>
      <c r="D13" s="3"/>
      <c r="E13" s="3"/>
      <c r="F13" s="87"/>
      <c r="G13" s="87"/>
    </row>
    <row r="14" spans="1:7" ht="15.75" thickBot="1" x14ac:dyDescent="0.3">
      <c r="A14" s="378" t="s">
        <v>138</v>
      </c>
      <c r="B14" s="376" t="s">
        <v>139</v>
      </c>
      <c r="C14" s="376"/>
      <c r="D14" s="376"/>
      <c r="E14" s="3"/>
      <c r="F14" s="87"/>
      <c r="G14" s="87"/>
    </row>
    <row r="15" spans="1:7" x14ac:dyDescent="0.25">
      <c r="A15" s="378"/>
      <c r="B15" s="377" t="s">
        <v>140</v>
      </c>
      <c r="C15" s="377"/>
      <c r="D15" s="377"/>
      <c r="E15" s="3"/>
      <c r="F15" s="87"/>
      <c r="G15" s="87"/>
    </row>
    <row r="16" spans="1:7" x14ac:dyDescent="0.25">
      <c r="A16" s="90"/>
      <c r="B16" s="91"/>
      <c r="C16" s="91"/>
      <c r="D16" s="91"/>
      <c r="E16" s="3"/>
      <c r="F16" s="87"/>
      <c r="G16" s="87"/>
    </row>
    <row r="17" spans="1:7" ht="15.75" thickBot="1" x14ac:dyDescent="0.3">
      <c r="A17" s="375" t="s">
        <v>141</v>
      </c>
      <c r="B17" s="375"/>
      <c r="C17" s="376" t="s">
        <v>142</v>
      </c>
      <c r="D17" s="376"/>
      <c r="E17" s="376"/>
      <c r="F17" s="87"/>
      <c r="G17" s="87"/>
    </row>
    <row r="18" spans="1:7" x14ac:dyDescent="0.25">
      <c r="A18" s="375"/>
      <c r="B18" s="375"/>
      <c r="C18" s="377" t="s">
        <v>140</v>
      </c>
      <c r="D18" s="377"/>
      <c r="E18" s="377"/>
      <c r="F18" s="87"/>
      <c r="G18" s="87"/>
    </row>
    <row r="19" spans="1:7" x14ac:dyDescent="0.25">
      <c r="A19" s="9"/>
      <c r="B19" s="9"/>
      <c r="C19" s="92"/>
      <c r="D19" s="92"/>
      <c r="E19" s="92"/>
      <c r="F19" s="87"/>
      <c r="G19" s="87"/>
    </row>
    <row r="20" spans="1:7" x14ac:dyDescent="0.25">
      <c r="A20" s="9"/>
      <c r="B20" s="9"/>
      <c r="C20" s="92"/>
      <c r="D20" s="92"/>
      <c r="E20" s="323" t="s">
        <v>12</v>
      </c>
      <c r="F20" s="323"/>
      <c r="G20" s="87"/>
    </row>
    <row r="21" spans="1:7" x14ac:dyDescent="0.25">
      <c r="A21" s="324" t="s">
        <v>143</v>
      </c>
      <c r="B21" s="324"/>
      <c r="C21" s="324"/>
      <c r="D21" s="324"/>
      <c r="E21" s="324"/>
      <c r="F21" s="324"/>
      <c r="G21" s="87"/>
    </row>
    <row r="22" spans="1:7" x14ac:dyDescent="0.25">
      <c r="A22" s="380" t="s">
        <v>144</v>
      </c>
      <c r="B22" s="382" t="s">
        <v>15</v>
      </c>
      <c r="C22" s="383"/>
      <c r="D22" s="383"/>
      <c r="E22" s="384" t="s">
        <v>145</v>
      </c>
      <c r="F22" s="384"/>
      <c r="G22" s="93"/>
    </row>
    <row r="23" spans="1:7" ht="45" x14ac:dyDescent="0.25">
      <c r="A23" s="381"/>
      <c r="B23" s="94" t="s">
        <v>146</v>
      </c>
      <c r="C23" s="94" t="s">
        <v>147</v>
      </c>
      <c r="D23" s="95" t="s">
        <v>148</v>
      </c>
      <c r="E23" s="94" t="s">
        <v>149</v>
      </c>
      <c r="F23" s="94" t="s">
        <v>150</v>
      </c>
      <c r="G23" s="96"/>
    </row>
    <row r="24" spans="1:7" x14ac:dyDescent="0.25">
      <c r="A24" s="97" t="s">
        <v>217</v>
      </c>
      <c r="B24" s="98">
        <v>0</v>
      </c>
      <c r="C24" s="99">
        <f>F12</f>
        <v>81631</v>
      </c>
      <c r="D24" s="100">
        <f>D10</f>
        <v>567.41467146251227</v>
      </c>
      <c r="E24" s="99">
        <f>B24/D24</f>
        <v>0</v>
      </c>
      <c r="F24" s="98">
        <f>C24/D24</f>
        <v>143.86480312466358</v>
      </c>
      <c r="G24" s="12"/>
    </row>
    <row r="25" spans="1:7" x14ac:dyDescent="0.25">
      <c r="A25" s="87"/>
      <c r="B25" s="87"/>
      <c r="C25" s="87"/>
      <c r="D25" s="87"/>
      <c r="E25" s="87"/>
      <c r="F25" s="87"/>
      <c r="G25" s="87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ht="15.75" x14ac:dyDescent="0.25">
      <c r="A29" s="385" t="s">
        <v>55</v>
      </c>
      <c r="B29" s="385"/>
      <c r="C29" s="385"/>
      <c r="D29" s="31"/>
      <c r="E29" s="343" t="s">
        <v>57</v>
      </c>
      <c r="F29" s="343"/>
      <c r="G29" s="343"/>
    </row>
    <row r="30" spans="1:7" ht="15.75" x14ac:dyDescent="0.25">
      <c r="A30" s="379" t="s">
        <v>56</v>
      </c>
      <c r="B30" s="379"/>
      <c r="C30" s="379"/>
      <c r="D30" s="31"/>
      <c r="E30" s="31"/>
      <c r="F30" s="84"/>
      <c r="G30" s="31"/>
    </row>
  </sheetData>
  <mergeCells count="22">
    <mergeCell ref="A30:C30"/>
    <mergeCell ref="E20:F20"/>
    <mergeCell ref="A21:F21"/>
    <mergeCell ref="A22:A23"/>
    <mergeCell ref="B22:D22"/>
    <mergeCell ref="E22:F22"/>
    <mergeCell ref="A29:C29"/>
    <mergeCell ref="E29:G29"/>
    <mergeCell ref="A17:B18"/>
    <mergeCell ref="C17:E17"/>
    <mergeCell ref="C18:E18"/>
    <mergeCell ref="A1:G1"/>
    <mergeCell ref="A2:F2"/>
    <mergeCell ref="A4:F4"/>
    <mergeCell ref="A6:F6"/>
    <mergeCell ref="A7:G7"/>
    <mergeCell ref="A8:F8"/>
    <mergeCell ref="A10:C10"/>
    <mergeCell ref="A12:E12"/>
    <mergeCell ref="A14:A15"/>
    <mergeCell ref="B14:D14"/>
    <mergeCell ref="B15:D15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55"/>
  <sheetViews>
    <sheetView topLeftCell="A16" workbookViewId="0">
      <selection activeCell="F28" sqref="F28"/>
    </sheetView>
  </sheetViews>
  <sheetFormatPr defaultRowHeight="15" x14ac:dyDescent="0.25"/>
  <cols>
    <col min="1" max="1" width="5.5703125" customWidth="1"/>
    <col min="2" max="2" width="26" customWidth="1"/>
    <col min="3" max="3" width="8" customWidth="1"/>
    <col min="4" max="4" width="16.7109375" customWidth="1"/>
    <col min="5" max="5" width="10.140625" customWidth="1"/>
    <col min="6" max="6" width="17.42578125" customWidth="1"/>
    <col min="7" max="7" width="12.28515625" customWidth="1"/>
  </cols>
  <sheetData>
    <row r="1" spans="1:7" ht="14.25" customHeight="1" x14ac:dyDescent="0.25">
      <c r="A1" s="104"/>
      <c r="B1" s="104"/>
      <c r="C1" s="135"/>
      <c r="D1" s="135"/>
      <c r="E1" s="104"/>
      <c r="F1" s="108"/>
      <c r="G1" s="106" t="s">
        <v>162</v>
      </c>
    </row>
    <row r="2" spans="1:7" ht="14.25" customHeight="1" x14ac:dyDescent="0.25">
      <c r="A2" s="104"/>
      <c r="B2" s="104"/>
      <c r="C2" s="135"/>
      <c r="D2" s="135"/>
      <c r="E2" s="104"/>
      <c r="F2" s="108"/>
      <c r="G2" s="106" t="s">
        <v>60</v>
      </c>
    </row>
    <row r="3" spans="1:7" ht="14.25" customHeight="1" x14ac:dyDescent="0.25">
      <c r="A3" s="104"/>
      <c r="B3" s="104"/>
      <c r="C3" s="135"/>
      <c r="D3" s="135"/>
      <c r="E3" s="104"/>
      <c r="F3" s="108"/>
      <c r="G3" s="106" t="s">
        <v>377</v>
      </c>
    </row>
    <row r="4" spans="1:7" ht="14.25" customHeight="1" x14ac:dyDescent="0.25">
      <c r="A4" s="104"/>
      <c r="B4" s="104"/>
      <c r="C4" s="135"/>
      <c r="D4" s="135"/>
      <c r="E4" s="104"/>
      <c r="F4" s="108"/>
      <c r="G4" s="106" t="s">
        <v>378</v>
      </c>
    </row>
    <row r="5" spans="1:7" ht="14.25" customHeight="1" x14ac:dyDescent="0.25">
      <c r="A5" s="104"/>
      <c r="B5" s="104"/>
      <c r="C5" s="135"/>
      <c r="D5" s="135"/>
      <c r="E5" s="104"/>
      <c r="F5" s="108"/>
      <c r="G5" s="104"/>
    </row>
    <row r="6" spans="1:7" ht="14.25" customHeight="1" x14ac:dyDescent="0.25">
      <c r="A6" s="409" t="s">
        <v>93</v>
      </c>
      <c r="B6" s="409"/>
      <c r="C6" s="409"/>
      <c r="D6" s="409"/>
      <c r="E6" s="409"/>
      <c r="F6" s="409"/>
      <c r="G6" s="409"/>
    </row>
    <row r="7" spans="1:7" ht="14.25" customHeight="1" x14ac:dyDescent="0.25">
      <c r="A7" s="396" t="s">
        <v>218</v>
      </c>
      <c r="B7" s="396"/>
      <c r="C7" s="396"/>
      <c r="D7" s="396"/>
      <c r="E7" s="396"/>
      <c r="F7" s="396"/>
      <c r="G7" s="396"/>
    </row>
    <row r="8" spans="1:7" ht="14.25" customHeight="1" x14ac:dyDescent="0.25">
      <c r="A8" s="461" t="s">
        <v>13</v>
      </c>
      <c r="B8" s="463" t="s">
        <v>95</v>
      </c>
      <c r="C8" s="464"/>
      <c r="D8" s="465"/>
      <c r="E8" s="469"/>
      <c r="F8" s="471" t="s">
        <v>96</v>
      </c>
      <c r="G8" s="471"/>
    </row>
    <row r="9" spans="1:7" ht="14.25" customHeight="1" x14ac:dyDescent="0.25">
      <c r="A9" s="462"/>
      <c r="B9" s="466"/>
      <c r="C9" s="467"/>
      <c r="D9" s="468"/>
      <c r="E9" s="470"/>
      <c r="F9" s="65" t="s">
        <v>97</v>
      </c>
      <c r="G9" s="203" t="s">
        <v>62</v>
      </c>
    </row>
    <row r="10" spans="1:7" ht="14.25" customHeight="1" x14ac:dyDescent="0.25">
      <c r="A10" s="109"/>
      <c r="B10" s="109" t="s">
        <v>153</v>
      </c>
      <c r="C10" s="113"/>
      <c r="D10" s="113" t="s">
        <v>154</v>
      </c>
      <c r="E10" s="109"/>
      <c r="F10" s="112">
        <v>62.85</v>
      </c>
      <c r="G10" s="113" t="s">
        <v>98</v>
      </c>
    </row>
    <row r="11" spans="1:7" ht="9" customHeight="1" x14ac:dyDescent="0.25">
      <c r="A11" s="109"/>
      <c r="B11" s="109"/>
      <c r="C11" s="113"/>
      <c r="D11" s="113"/>
      <c r="E11" s="109"/>
      <c r="F11" s="112"/>
      <c r="G11" s="113"/>
    </row>
    <row r="12" spans="1:7" ht="14.25" customHeight="1" x14ac:dyDescent="0.25">
      <c r="A12" s="109"/>
      <c r="B12" s="109" t="s">
        <v>99</v>
      </c>
      <c r="C12" s="113"/>
      <c r="D12" s="113"/>
      <c r="E12" s="138">
        <v>0.25</v>
      </c>
      <c r="F12" s="112">
        <f>F10*E12</f>
        <v>15.7125</v>
      </c>
      <c r="G12" s="113" t="s">
        <v>98</v>
      </c>
    </row>
    <row r="13" spans="1:7" ht="9" customHeight="1" x14ac:dyDescent="0.25">
      <c r="A13" s="109"/>
      <c r="B13" s="109"/>
      <c r="C13" s="113"/>
      <c r="D13" s="113"/>
      <c r="E13" s="109"/>
      <c r="F13" s="112"/>
      <c r="G13" s="113"/>
    </row>
    <row r="14" spans="1:7" ht="14.25" customHeight="1" x14ac:dyDescent="0.25">
      <c r="A14" s="109"/>
      <c r="B14" s="386" t="s">
        <v>100</v>
      </c>
      <c r="C14" s="387"/>
      <c r="D14" s="388"/>
      <c r="E14" s="138">
        <v>0.1</v>
      </c>
      <c r="F14" s="112">
        <f>F10*E14</f>
        <v>6.2850000000000001</v>
      </c>
      <c r="G14" s="113" t="str">
        <f>G12</f>
        <v>руб.</v>
      </c>
    </row>
    <row r="15" spans="1:7" ht="9" customHeight="1" x14ac:dyDescent="0.25">
      <c r="A15" s="109"/>
      <c r="B15" s="109"/>
      <c r="C15" s="113"/>
      <c r="D15" s="113"/>
      <c r="E15" s="109"/>
      <c r="F15" s="112"/>
      <c r="G15" s="113"/>
    </row>
    <row r="16" spans="1:7" ht="14.25" customHeight="1" x14ac:dyDescent="0.25">
      <c r="A16" s="109"/>
      <c r="B16" s="109" t="s">
        <v>209</v>
      </c>
      <c r="C16" s="113"/>
      <c r="D16" s="113"/>
      <c r="E16" s="138">
        <v>0.04</v>
      </c>
      <c r="F16" s="112">
        <f>F10*E16</f>
        <v>2.5140000000000002</v>
      </c>
      <c r="G16" s="113" t="s">
        <v>98</v>
      </c>
    </row>
    <row r="17" spans="1:7" ht="9" customHeight="1" x14ac:dyDescent="0.25">
      <c r="A17" s="109"/>
      <c r="B17" s="109"/>
      <c r="C17" s="113"/>
      <c r="D17" s="113"/>
      <c r="E17" s="109"/>
      <c r="F17" s="112"/>
      <c r="G17" s="113"/>
    </row>
    <row r="18" spans="1:7" ht="14.25" customHeight="1" x14ac:dyDescent="0.25">
      <c r="A18" s="109"/>
      <c r="B18" s="109" t="s">
        <v>101</v>
      </c>
      <c r="C18" s="113"/>
      <c r="D18" s="113"/>
      <c r="E18" s="138">
        <v>0.4</v>
      </c>
      <c r="F18" s="112">
        <f>F10*E18</f>
        <v>25.14</v>
      </c>
      <c r="G18" s="113" t="s">
        <v>98</v>
      </c>
    </row>
    <row r="19" spans="1:7" ht="9" customHeight="1" x14ac:dyDescent="0.25">
      <c r="A19" s="109"/>
      <c r="B19" s="109"/>
      <c r="C19" s="113"/>
      <c r="D19" s="113"/>
      <c r="E19" s="138"/>
      <c r="F19" s="112"/>
      <c r="G19" s="113"/>
    </row>
    <row r="20" spans="1:7" ht="14.25" customHeight="1" x14ac:dyDescent="0.25">
      <c r="A20" s="109"/>
      <c r="B20" s="109" t="s">
        <v>102</v>
      </c>
      <c r="C20" s="113"/>
      <c r="D20" s="113"/>
      <c r="E20" s="109"/>
      <c r="F20" s="112">
        <v>60</v>
      </c>
      <c r="G20" s="113" t="s">
        <v>103</v>
      </c>
    </row>
    <row r="21" spans="1:7" ht="14.25" customHeight="1" x14ac:dyDescent="0.25">
      <c r="A21" s="109"/>
      <c r="B21" s="109"/>
      <c r="C21" s="113"/>
      <c r="D21" s="113"/>
      <c r="E21" s="109"/>
      <c r="F21" s="112"/>
      <c r="G21" s="109"/>
    </row>
    <row r="22" spans="1:7" ht="14.25" customHeight="1" x14ac:dyDescent="0.25">
      <c r="A22" s="117">
        <v>1</v>
      </c>
      <c r="B22" s="118" t="s">
        <v>104</v>
      </c>
      <c r="C22" s="117"/>
      <c r="D22" s="117"/>
      <c r="E22" s="118"/>
      <c r="F22" s="121">
        <f>F10+F12+F14+F16+F18</f>
        <v>112.50149999999999</v>
      </c>
      <c r="G22" s="117" t="s">
        <v>98</v>
      </c>
    </row>
    <row r="23" spans="1:7" ht="14.25" customHeight="1" x14ac:dyDescent="0.25">
      <c r="A23" s="117"/>
      <c r="B23" s="118"/>
      <c r="C23" s="117"/>
      <c r="D23" s="113"/>
      <c r="E23" s="109"/>
      <c r="F23" s="112"/>
      <c r="G23" s="113"/>
    </row>
    <row r="24" spans="1:7" ht="14.25" customHeight="1" x14ac:dyDescent="0.25">
      <c r="A24" s="117">
        <v>2</v>
      </c>
      <c r="B24" s="118" t="s">
        <v>164</v>
      </c>
      <c r="C24" s="117"/>
      <c r="D24" s="117"/>
      <c r="E24" s="139">
        <v>0.30199999999999999</v>
      </c>
      <c r="F24" s="121">
        <f>E24*F22</f>
        <v>33.975452999999995</v>
      </c>
      <c r="G24" s="117" t="s">
        <v>98</v>
      </c>
    </row>
    <row r="25" spans="1:7" ht="14.25" customHeight="1" x14ac:dyDescent="0.25">
      <c r="A25" s="117"/>
      <c r="B25" s="118"/>
      <c r="C25" s="117"/>
      <c r="D25" s="113"/>
      <c r="E25" s="138"/>
      <c r="F25" s="112"/>
      <c r="G25" s="113"/>
    </row>
    <row r="26" spans="1:7" ht="14.25" customHeight="1" x14ac:dyDescent="0.25">
      <c r="A26" s="117">
        <v>3</v>
      </c>
      <c r="B26" s="118" t="s">
        <v>106</v>
      </c>
      <c r="C26" s="117"/>
      <c r="D26" s="117"/>
      <c r="E26" s="139"/>
      <c r="F26" s="121">
        <f>'Пробег 3309'!E25</f>
        <v>204.34575667655787</v>
      </c>
      <c r="G26" s="117" t="s">
        <v>98</v>
      </c>
    </row>
    <row r="27" spans="1:7" ht="14.25" customHeight="1" x14ac:dyDescent="0.25">
      <c r="A27" s="117"/>
      <c r="B27" s="118"/>
      <c r="C27" s="117"/>
      <c r="D27" s="113"/>
      <c r="E27" s="138"/>
      <c r="F27" s="112"/>
      <c r="G27" s="113"/>
    </row>
    <row r="28" spans="1:7" ht="14.25" customHeight="1" x14ac:dyDescent="0.25">
      <c r="A28" s="117">
        <v>4</v>
      </c>
      <c r="B28" s="118" t="s">
        <v>108</v>
      </c>
      <c r="C28" s="117"/>
      <c r="D28" s="117"/>
      <c r="E28" s="139"/>
      <c r="F28" s="121">
        <f>'Пробег 3309'!F25</f>
        <v>177.3637982195846</v>
      </c>
      <c r="G28" s="117" t="s">
        <v>98</v>
      </c>
    </row>
    <row r="29" spans="1:7" ht="14.25" customHeight="1" x14ac:dyDescent="0.25">
      <c r="A29" s="117"/>
      <c r="B29" s="118"/>
      <c r="C29" s="117"/>
      <c r="D29" s="113"/>
      <c r="E29" s="138"/>
      <c r="F29" s="112"/>
      <c r="G29" s="113"/>
    </row>
    <row r="30" spans="1:7" ht="14.25" customHeight="1" x14ac:dyDescent="0.25">
      <c r="A30" s="117">
        <v>5</v>
      </c>
      <c r="B30" s="118" t="s">
        <v>156</v>
      </c>
      <c r="C30" s="117"/>
      <c r="D30" s="113"/>
      <c r="E30" s="112"/>
      <c r="F30" s="124"/>
      <c r="G30" s="104"/>
    </row>
    <row r="31" spans="1:7" ht="14.25" customHeight="1" x14ac:dyDescent="0.25">
      <c r="A31" s="117"/>
      <c r="B31" s="109" t="s">
        <v>178</v>
      </c>
      <c r="C31" s="459" t="s">
        <v>219</v>
      </c>
      <c r="D31" s="460"/>
      <c r="E31" s="112"/>
      <c r="F31" s="124">
        <f>0.15*40</f>
        <v>6</v>
      </c>
      <c r="G31" s="113" t="s">
        <v>111</v>
      </c>
    </row>
    <row r="32" spans="1:7" ht="14.25" customHeight="1" x14ac:dyDescent="0.25">
      <c r="A32" s="117"/>
      <c r="B32" s="109" t="s">
        <v>70</v>
      </c>
      <c r="C32" s="459" t="s">
        <v>354</v>
      </c>
      <c r="D32" s="460"/>
      <c r="E32" s="124"/>
      <c r="F32" s="108">
        <f>1.35*2</f>
        <v>2.7</v>
      </c>
      <c r="G32" s="113" t="s">
        <v>111</v>
      </c>
    </row>
    <row r="33" spans="1:7" ht="14.25" customHeight="1" x14ac:dyDescent="0.25">
      <c r="A33" s="117"/>
      <c r="B33" s="109" t="s">
        <v>220</v>
      </c>
      <c r="C33" s="389">
        <f>F31+F32</f>
        <v>8.6999999999999993</v>
      </c>
      <c r="D33" s="388"/>
      <c r="E33" s="124">
        <v>34.53</v>
      </c>
      <c r="F33" s="126">
        <f>C33*E33</f>
        <v>300.411</v>
      </c>
      <c r="G33" s="117" t="s">
        <v>98</v>
      </c>
    </row>
    <row r="34" spans="1:7" ht="14.25" customHeight="1" x14ac:dyDescent="0.25">
      <c r="A34" s="117"/>
      <c r="B34" s="118"/>
      <c r="C34" s="117"/>
      <c r="D34" s="113"/>
      <c r="E34" s="112"/>
      <c r="F34" s="112"/>
      <c r="G34" s="113"/>
    </row>
    <row r="35" spans="1:7" ht="14.25" customHeight="1" x14ac:dyDescent="0.25">
      <c r="A35" s="117">
        <v>6</v>
      </c>
      <c r="B35" s="118" t="s">
        <v>112</v>
      </c>
      <c r="C35" s="117"/>
      <c r="D35" s="113"/>
      <c r="E35" s="204"/>
      <c r="F35" s="112"/>
      <c r="G35" s="113"/>
    </row>
    <row r="36" spans="1:7" ht="14.25" customHeight="1" x14ac:dyDescent="0.25">
      <c r="A36" s="117"/>
      <c r="B36" s="109" t="s">
        <v>113</v>
      </c>
      <c r="C36" s="142">
        <v>2.1999999999999999E-2</v>
      </c>
      <c r="D36" s="176" t="s">
        <v>114</v>
      </c>
      <c r="E36" s="130">
        <v>186.99</v>
      </c>
      <c r="F36" s="112">
        <f>C36*$C$33*E36</f>
        <v>35.789886000000003</v>
      </c>
      <c r="G36" s="113" t="s">
        <v>98</v>
      </c>
    </row>
    <row r="37" spans="1:7" ht="14.25" customHeight="1" x14ac:dyDescent="0.25">
      <c r="A37" s="117"/>
      <c r="B37" s="109" t="s">
        <v>115</v>
      </c>
      <c r="C37" s="142">
        <v>3.0000000000000001E-3</v>
      </c>
      <c r="D37" s="178" t="s">
        <v>116</v>
      </c>
      <c r="E37" s="130">
        <v>107.82</v>
      </c>
      <c r="F37" s="112">
        <f>C37*$C$33*E37</f>
        <v>2.8141019999999997</v>
      </c>
      <c r="G37" s="113" t="s">
        <v>98</v>
      </c>
    </row>
    <row r="38" spans="1:7" ht="14.25" customHeight="1" x14ac:dyDescent="0.25">
      <c r="A38" s="117"/>
      <c r="B38" s="109" t="s">
        <v>117</v>
      </c>
      <c r="C38" s="142">
        <v>1E-3</v>
      </c>
      <c r="D38" s="178" t="s">
        <v>116</v>
      </c>
      <c r="E38" s="130">
        <v>75.260000000000005</v>
      </c>
      <c r="F38" s="112">
        <f>C38*$C$33*E38</f>
        <v>0.65476199999999996</v>
      </c>
      <c r="G38" s="113" t="s">
        <v>98</v>
      </c>
    </row>
    <row r="39" spans="1:7" ht="14.25" customHeight="1" x14ac:dyDescent="0.25">
      <c r="A39" s="117"/>
      <c r="B39" s="109" t="s">
        <v>118</v>
      </c>
      <c r="C39" s="146">
        <v>2E-3</v>
      </c>
      <c r="D39" s="179" t="s">
        <v>116</v>
      </c>
      <c r="E39" s="130">
        <v>132.04</v>
      </c>
      <c r="F39" s="112">
        <f>C39*$C$33*E39</f>
        <v>2.2974959999999998</v>
      </c>
      <c r="G39" s="113" t="s">
        <v>98</v>
      </c>
    </row>
    <row r="40" spans="1:7" ht="14.25" customHeight="1" x14ac:dyDescent="0.25">
      <c r="A40" s="117"/>
      <c r="B40" s="109" t="s">
        <v>119</v>
      </c>
      <c r="C40" s="113"/>
      <c r="D40" s="189"/>
      <c r="E40" s="205"/>
      <c r="F40" s="121">
        <f>SUM(F36:F39)</f>
        <v>41.556246000000002</v>
      </c>
      <c r="G40" s="117" t="s">
        <v>98</v>
      </c>
    </row>
    <row r="41" spans="1:7" ht="9" customHeight="1" x14ac:dyDescent="0.25">
      <c r="A41" s="117"/>
      <c r="B41" s="109"/>
      <c r="C41" s="141"/>
      <c r="D41" s="113"/>
      <c r="E41" s="138"/>
      <c r="F41" s="112"/>
      <c r="G41" s="113"/>
    </row>
    <row r="42" spans="1:7" ht="14.25" customHeight="1" x14ac:dyDescent="0.25">
      <c r="A42" s="117">
        <v>7</v>
      </c>
      <c r="B42" s="118" t="s">
        <v>120</v>
      </c>
      <c r="C42" s="117"/>
      <c r="D42" s="117"/>
      <c r="E42" s="122">
        <v>0.6</v>
      </c>
      <c r="F42" s="121">
        <f>F22*E42</f>
        <v>67.500899999999987</v>
      </c>
      <c r="G42" s="117" t="s">
        <v>98</v>
      </c>
    </row>
    <row r="43" spans="1:7" ht="14.25" customHeight="1" x14ac:dyDescent="0.25">
      <c r="A43" s="113"/>
      <c r="B43" s="109"/>
      <c r="C43" s="113"/>
      <c r="D43" s="113"/>
      <c r="E43" s="138"/>
      <c r="F43" s="112"/>
      <c r="G43" s="113"/>
    </row>
    <row r="44" spans="1:7" ht="14.25" customHeight="1" x14ac:dyDescent="0.25">
      <c r="A44" s="117">
        <v>8</v>
      </c>
      <c r="B44" s="118" t="s">
        <v>121</v>
      </c>
      <c r="C44" s="117"/>
      <c r="D44" s="117"/>
      <c r="E44" s="139"/>
      <c r="F44" s="121">
        <f>F22+F24+F26+F28+F33+F40+F42</f>
        <v>937.65465389614235</v>
      </c>
      <c r="G44" s="117" t="s">
        <v>98</v>
      </c>
    </row>
    <row r="45" spans="1:7" ht="14.25" customHeight="1" x14ac:dyDescent="0.25">
      <c r="A45" s="117"/>
      <c r="B45" s="118"/>
      <c r="C45" s="117"/>
      <c r="D45" s="117"/>
      <c r="E45" s="139"/>
      <c r="F45" s="121"/>
      <c r="G45" s="117"/>
    </row>
    <row r="46" spans="1:7" ht="14.25" customHeight="1" x14ac:dyDescent="0.25">
      <c r="A46" s="117">
        <v>9</v>
      </c>
      <c r="B46" s="118" t="s">
        <v>122</v>
      </c>
      <c r="C46" s="117"/>
      <c r="D46" s="117"/>
      <c r="E46" s="139"/>
      <c r="F46" s="121"/>
      <c r="G46" s="117"/>
    </row>
    <row r="47" spans="1:7" ht="14.25" customHeight="1" x14ac:dyDescent="0.25">
      <c r="A47" s="113"/>
      <c r="B47" s="109" t="s">
        <v>123</v>
      </c>
      <c r="C47" s="113"/>
      <c r="D47" s="113"/>
      <c r="E47" s="138">
        <v>0.1</v>
      </c>
      <c r="F47" s="112">
        <f>F44*E47</f>
        <v>93.765465389614235</v>
      </c>
      <c r="G47" s="113" t="s">
        <v>98</v>
      </c>
    </row>
    <row r="48" spans="1:7" ht="14.25" customHeight="1" x14ac:dyDescent="0.25">
      <c r="A48" s="113"/>
      <c r="B48" s="109" t="s">
        <v>124</v>
      </c>
      <c r="C48" s="113"/>
      <c r="D48" s="113"/>
      <c r="E48" s="138">
        <v>0.15</v>
      </c>
      <c r="F48" s="112">
        <f>F44*E48</f>
        <v>140.64819808442135</v>
      </c>
      <c r="G48" s="113" t="s">
        <v>98</v>
      </c>
    </row>
    <row r="49" spans="1:7" ht="14.25" customHeight="1" x14ac:dyDescent="0.25">
      <c r="A49" s="117">
        <v>10</v>
      </c>
      <c r="B49" s="118" t="s">
        <v>125</v>
      </c>
      <c r="C49" s="117"/>
      <c r="D49" s="117"/>
      <c r="E49" s="139"/>
      <c r="F49" s="121"/>
      <c r="G49" s="117"/>
    </row>
    <row r="50" spans="1:7" ht="14.25" customHeight="1" x14ac:dyDescent="0.25">
      <c r="A50" s="113"/>
      <c r="B50" s="109" t="s">
        <v>123</v>
      </c>
      <c r="C50" s="113"/>
      <c r="D50" s="113"/>
      <c r="E50" s="138"/>
      <c r="F50" s="121">
        <f>F44+F47</f>
        <v>1031.4201192857565</v>
      </c>
      <c r="G50" s="117" t="s">
        <v>98</v>
      </c>
    </row>
    <row r="51" spans="1:7" ht="14.25" customHeight="1" x14ac:dyDescent="0.25">
      <c r="A51" s="113"/>
      <c r="B51" s="109" t="s">
        <v>124</v>
      </c>
      <c r="C51" s="113"/>
      <c r="D51" s="113"/>
      <c r="E51" s="138"/>
      <c r="F51" s="121">
        <f>F44+F48</f>
        <v>1078.3028519805637</v>
      </c>
      <c r="G51" s="117" t="s">
        <v>98</v>
      </c>
    </row>
    <row r="52" spans="1:7" ht="14.25" customHeight="1" x14ac:dyDescent="0.25">
      <c r="A52" s="104"/>
      <c r="B52" s="104"/>
      <c r="C52" s="135"/>
      <c r="D52" s="135"/>
      <c r="E52" s="104"/>
      <c r="F52" s="108"/>
      <c r="G52" s="163"/>
    </row>
    <row r="53" spans="1:7" ht="14.25" customHeight="1" x14ac:dyDescent="0.25">
      <c r="A53" s="104"/>
      <c r="B53" s="104"/>
      <c r="C53" s="135"/>
      <c r="D53" s="135"/>
      <c r="E53" s="104"/>
      <c r="F53" s="108"/>
      <c r="G53" s="104"/>
    </row>
    <row r="54" spans="1:7" ht="14.25" customHeight="1" x14ac:dyDescent="0.25">
      <c r="A54" s="31"/>
      <c r="B54" s="83" t="s">
        <v>55</v>
      </c>
      <c r="C54" s="83"/>
      <c r="D54" s="83"/>
      <c r="E54" s="31"/>
      <c r="F54" s="62" t="s">
        <v>57</v>
      </c>
      <c r="G54" s="31"/>
    </row>
    <row r="55" spans="1:7" ht="14.25" customHeight="1" x14ac:dyDescent="0.25">
      <c r="A55" s="31"/>
      <c r="B55" s="84" t="s">
        <v>56</v>
      </c>
      <c r="C55" s="83"/>
      <c r="D55" s="83"/>
      <c r="E55" s="31"/>
      <c r="F55" s="42"/>
      <c r="G55" s="31"/>
    </row>
  </sheetData>
  <mergeCells count="10">
    <mergeCell ref="B14:D14"/>
    <mergeCell ref="C31:D31"/>
    <mergeCell ref="C32:D32"/>
    <mergeCell ref="C33:D33"/>
    <mergeCell ref="A6:G6"/>
    <mergeCell ref="A7:G7"/>
    <mergeCell ref="A8:A9"/>
    <mergeCell ref="B8:D9"/>
    <mergeCell ref="E8:E9"/>
    <mergeCell ref="F8:G8"/>
  </mergeCells>
  <pageMargins left="0.25" right="0.25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1"/>
  <sheetViews>
    <sheetView workbookViewId="0">
      <selection activeCell="K19" sqref="K19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20" t="s">
        <v>221</v>
      </c>
      <c r="B1" s="320"/>
      <c r="C1" s="320"/>
      <c r="D1" s="320"/>
      <c r="E1" s="320"/>
      <c r="F1" s="320"/>
      <c r="G1" s="320"/>
    </row>
    <row r="2" spans="1:7" x14ac:dyDescent="0.25">
      <c r="A2" s="319" t="s">
        <v>130</v>
      </c>
      <c r="B2" s="319"/>
      <c r="C2" s="319"/>
      <c r="D2" s="319"/>
      <c r="E2" s="319"/>
      <c r="F2" s="319"/>
      <c r="G2" s="3"/>
    </row>
    <row r="3" spans="1:7" x14ac:dyDescent="0.25">
      <c r="A3" s="87"/>
      <c r="B3" s="5">
        <f>'План. расчет времени'!E29</f>
        <v>477</v>
      </c>
      <c r="C3" s="3" t="s">
        <v>131</v>
      </c>
      <c r="D3" s="3"/>
      <c r="E3" s="3"/>
      <c r="F3" s="3"/>
      <c r="G3" s="3"/>
    </row>
    <row r="4" spans="1:7" x14ac:dyDescent="0.25">
      <c r="A4" s="319" t="s">
        <v>132</v>
      </c>
      <c r="B4" s="319"/>
      <c r="C4" s="319"/>
      <c r="D4" s="319"/>
      <c r="E4" s="319"/>
      <c r="F4" s="319"/>
      <c r="G4" s="86"/>
    </row>
    <row r="5" spans="1:7" x14ac:dyDescent="0.25">
      <c r="A5" s="3"/>
      <c r="B5" s="3">
        <v>40</v>
      </c>
      <c r="C5" s="3" t="s">
        <v>131</v>
      </c>
      <c r="D5" s="3"/>
      <c r="E5" s="3"/>
      <c r="F5" s="3"/>
      <c r="G5" s="86"/>
    </row>
    <row r="6" spans="1:7" x14ac:dyDescent="0.25">
      <c r="A6" s="319" t="s">
        <v>168</v>
      </c>
      <c r="B6" s="319"/>
      <c r="C6" s="319"/>
      <c r="D6" s="319"/>
      <c r="E6" s="319"/>
      <c r="F6" s="319"/>
      <c r="G6" s="319"/>
    </row>
    <row r="7" spans="1:7" x14ac:dyDescent="0.25">
      <c r="A7" s="3"/>
      <c r="B7" s="3">
        <v>100</v>
      </c>
      <c r="C7" s="3" t="s">
        <v>131</v>
      </c>
      <c r="D7" s="87"/>
      <c r="E7" s="87"/>
      <c r="F7" s="3"/>
      <c r="G7" s="3"/>
    </row>
    <row r="8" spans="1:7" x14ac:dyDescent="0.25">
      <c r="A8" s="86"/>
      <c r="B8" s="86"/>
      <c r="C8" s="86"/>
      <c r="D8" s="3"/>
      <c r="E8" s="3"/>
      <c r="F8" s="3"/>
      <c r="G8" s="3"/>
    </row>
    <row r="9" spans="1:7" x14ac:dyDescent="0.25">
      <c r="A9" s="406" t="s">
        <v>136</v>
      </c>
      <c r="B9" s="406"/>
      <c r="C9" s="406"/>
      <c r="D9" s="149">
        <f>B3-B5-B7</f>
        <v>337</v>
      </c>
      <c r="E9" s="150" t="s">
        <v>131</v>
      </c>
      <c r="F9" s="150"/>
      <c r="G9" s="9"/>
    </row>
    <row r="10" spans="1:7" x14ac:dyDescent="0.25">
      <c r="A10" s="86"/>
      <c r="B10" s="86"/>
      <c r="C10" s="86"/>
      <c r="D10" s="86"/>
      <c r="E10" s="86"/>
      <c r="F10" s="86"/>
      <c r="G10" s="86"/>
    </row>
    <row r="11" spans="1:7" x14ac:dyDescent="0.25">
      <c r="A11" s="319" t="s">
        <v>169</v>
      </c>
      <c r="B11" s="319"/>
      <c r="C11" s="3">
        <v>68864.52</v>
      </c>
      <c r="D11" s="3" t="s">
        <v>98</v>
      </c>
      <c r="E11" s="3"/>
      <c r="F11" s="86"/>
      <c r="G11" s="86"/>
    </row>
    <row r="12" spans="1:7" x14ac:dyDescent="0.25">
      <c r="A12" s="86"/>
      <c r="B12" s="86"/>
      <c r="C12" s="86"/>
      <c r="D12" s="86"/>
      <c r="E12" s="86"/>
      <c r="F12" s="86"/>
      <c r="G12" s="86"/>
    </row>
    <row r="13" spans="1:7" x14ac:dyDescent="0.25">
      <c r="A13" s="319" t="s">
        <v>170</v>
      </c>
      <c r="B13" s="319"/>
      <c r="C13" s="319"/>
      <c r="D13" s="319"/>
      <c r="E13" s="319"/>
      <c r="F13" s="298">
        <f>'[1]КО-503В-2'!$F$31</f>
        <v>59771.600000000006</v>
      </c>
      <c r="G13" s="3" t="s">
        <v>98</v>
      </c>
    </row>
    <row r="14" spans="1:7" x14ac:dyDescent="0.25">
      <c r="A14" s="86"/>
      <c r="B14" s="86"/>
      <c r="C14" s="3"/>
      <c r="D14" s="3"/>
      <c r="E14" s="3"/>
      <c r="F14" s="87"/>
      <c r="G14" s="87"/>
    </row>
    <row r="15" spans="1:7" ht="15.75" thickBot="1" x14ac:dyDescent="0.3">
      <c r="A15" s="378" t="s">
        <v>138</v>
      </c>
      <c r="B15" s="376" t="s">
        <v>139</v>
      </c>
      <c r="C15" s="376"/>
      <c r="D15" s="376"/>
      <c r="E15" s="3"/>
      <c r="F15" s="87"/>
      <c r="G15" s="87"/>
    </row>
    <row r="16" spans="1:7" x14ac:dyDescent="0.25">
      <c r="A16" s="378"/>
      <c r="B16" s="377" t="s">
        <v>140</v>
      </c>
      <c r="C16" s="377"/>
      <c r="D16" s="377"/>
      <c r="E16" s="3"/>
      <c r="F16" s="87"/>
      <c r="G16" s="87"/>
    </row>
    <row r="17" spans="1:7" x14ac:dyDescent="0.25">
      <c r="A17" s="90"/>
      <c r="B17" s="91"/>
      <c r="C17" s="91"/>
      <c r="D17" s="91"/>
      <c r="E17" s="3"/>
      <c r="F17" s="87"/>
      <c r="G17" s="87"/>
    </row>
    <row r="18" spans="1:7" ht="15.75" thickBot="1" x14ac:dyDescent="0.3">
      <c r="A18" s="375" t="s">
        <v>141</v>
      </c>
      <c r="B18" s="375"/>
      <c r="C18" s="376" t="s">
        <v>142</v>
      </c>
      <c r="D18" s="376"/>
      <c r="E18" s="376"/>
      <c r="F18" s="87"/>
      <c r="G18" s="87"/>
    </row>
    <row r="19" spans="1:7" x14ac:dyDescent="0.25">
      <c r="A19" s="375"/>
      <c r="B19" s="375"/>
      <c r="C19" s="377" t="s">
        <v>140</v>
      </c>
      <c r="D19" s="377"/>
      <c r="E19" s="377"/>
      <c r="F19" s="87"/>
      <c r="G19" s="87"/>
    </row>
    <row r="20" spans="1:7" x14ac:dyDescent="0.25">
      <c r="A20" s="9"/>
      <c r="B20" s="9"/>
      <c r="C20" s="92"/>
      <c r="D20" s="92"/>
      <c r="E20" s="92"/>
      <c r="F20" s="87"/>
      <c r="G20" s="87"/>
    </row>
    <row r="21" spans="1:7" x14ac:dyDescent="0.25">
      <c r="A21" s="9"/>
      <c r="B21" s="9"/>
      <c r="C21" s="92"/>
      <c r="D21" s="92"/>
      <c r="E21" s="323" t="s">
        <v>12</v>
      </c>
      <c r="F21" s="323"/>
      <c r="G21" s="87"/>
    </row>
    <row r="22" spans="1:7" x14ac:dyDescent="0.25">
      <c r="A22" s="324" t="s">
        <v>143</v>
      </c>
      <c r="B22" s="324"/>
      <c r="C22" s="324"/>
      <c r="D22" s="324"/>
      <c r="E22" s="324"/>
      <c r="F22" s="324"/>
      <c r="G22" s="87"/>
    </row>
    <row r="23" spans="1:7" x14ac:dyDescent="0.25">
      <c r="A23" s="380" t="s">
        <v>144</v>
      </c>
      <c r="B23" s="382" t="s">
        <v>15</v>
      </c>
      <c r="C23" s="383"/>
      <c r="D23" s="383"/>
      <c r="E23" s="384" t="s">
        <v>145</v>
      </c>
      <c r="F23" s="384"/>
      <c r="G23" s="93"/>
    </row>
    <row r="24" spans="1:7" ht="45" x14ac:dyDescent="0.25">
      <c r="A24" s="381"/>
      <c r="B24" s="94" t="s">
        <v>146</v>
      </c>
      <c r="C24" s="94" t="s">
        <v>147</v>
      </c>
      <c r="D24" s="95" t="s">
        <v>148</v>
      </c>
      <c r="E24" s="94" t="s">
        <v>149</v>
      </c>
      <c r="F24" s="94" t="s">
        <v>150</v>
      </c>
      <c r="G24" s="96"/>
    </row>
    <row r="25" spans="1:7" x14ac:dyDescent="0.25">
      <c r="A25" s="97" t="s">
        <v>222</v>
      </c>
      <c r="B25" s="98">
        <f>C11</f>
        <v>68864.52</v>
      </c>
      <c r="C25" s="99">
        <f>F13</f>
        <v>59771.600000000006</v>
      </c>
      <c r="D25" s="100">
        <f>D9</f>
        <v>337</v>
      </c>
      <c r="E25" s="99">
        <f>B25/D25</f>
        <v>204.34575667655787</v>
      </c>
      <c r="F25" s="98">
        <f>C25/D25</f>
        <v>177.3637982195846</v>
      </c>
      <c r="G25" s="12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x14ac:dyDescent="0.25">
      <c r="A29" s="87"/>
      <c r="B29" s="87"/>
      <c r="C29" s="87"/>
      <c r="D29" s="87"/>
      <c r="E29" s="87"/>
      <c r="F29" s="87"/>
      <c r="G29" s="87"/>
    </row>
    <row r="30" spans="1:7" ht="15.75" x14ac:dyDescent="0.25">
      <c r="A30" s="385" t="s">
        <v>55</v>
      </c>
      <c r="B30" s="385"/>
      <c r="C30" s="385"/>
      <c r="D30" s="31"/>
      <c r="E30" s="343" t="s">
        <v>57</v>
      </c>
      <c r="F30" s="343"/>
      <c r="G30" s="343"/>
    </row>
    <row r="31" spans="1:7" ht="15.75" x14ac:dyDescent="0.25">
      <c r="A31" s="379" t="s">
        <v>56</v>
      </c>
      <c r="B31" s="379"/>
      <c r="C31" s="379"/>
      <c r="D31" s="31"/>
      <c r="E31" s="31"/>
      <c r="F31" s="84"/>
      <c r="G31" s="31"/>
    </row>
  </sheetData>
  <mergeCells count="21">
    <mergeCell ref="A31:C31"/>
    <mergeCell ref="E21:F21"/>
    <mergeCell ref="A22:F22"/>
    <mergeCell ref="A23:A24"/>
    <mergeCell ref="B23:D23"/>
    <mergeCell ref="E23:F23"/>
    <mergeCell ref="A30:C30"/>
    <mergeCell ref="E30:G30"/>
    <mergeCell ref="A13:E13"/>
    <mergeCell ref="A15:A16"/>
    <mergeCell ref="B15:D15"/>
    <mergeCell ref="B16:D16"/>
    <mergeCell ref="A18:B19"/>
    <mergeCell ref="C18:E18"/>
    <mergeCell ref="C19:E19"/>
    <mergeCell ref="A11:B11"/>
    <mergeCell ref="A1:G1"/>
    <mergeCell ref="A2:F2"/>
    <mergeCell ref="A4:F4"/>
    <mergeCell ref="A6:G6"/>
    <mergeCell ref="A9:C9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56"/>
  <sheetViews>
    <sheetView topLeftCell="A25" workbookViewId="0">
      <selection activeCell="F28" sqref="F28"/>
    </sheetView>
  </sheetViews>
  <sheetFormatPr defaultRowHeight="15" x14ac:dyDescent="0.25"/>
  <cols>
    <col min="1" max="1" width="5" customWidth="1"/>
    <col min="2" max="2" width="30.28515625" customWidth="1"/>
    <col min="3" max="3" width="10.140625" customWidth="1"/>
    <col min="4" max="4" width="14.140625" customWidth="1"/>
    <col min="5" max="5" width="9.85546875" customWidth="1"/>
    <col min="6" max="6" width="17.42578125" customWidth="1"/>
    <col min="7" max="7" width="9.85546875" customWidth="1"/>
  </cols>
  <sheetData>
    <row r="1" spans="1:7" ht="14.25" customHeight="1" x14ac:dyDescent="0.25">
      <c r="A1" s="31"/>
      <c r="B1" s="31"/>
      <c r="C1" s="290"/>
      <c r="D1" s="290"/>
      <c r="E1" s="63"/>
      <c r="F1" s="63"/>
      <c r="G1" s="64" t="s">
        <v>59</v>
      </c>
    </row>
    <row r="2" spans="1:7" ht="14.25" customHeight="1" x14ac:dyDescent="0.25">
      <c r="A2" s="31"/>
      <c r="B2" s="31"/>
      <c r="C2" s="290"/>
      <c r="D2" s="290"/>
      <c r="E2" s="63"/>
      <c r="F2" s="63"/>
      <c r="G2" s="64" t="s">
        <v>60</v>
      </c>
    </row>
    <row r="3" spans="1:7" ht="14.25" customHeight="1" x14ac:dyDescent="0.25">
      <c r="A3" s="31"/>
      <c r="B3" s="31"/>
      <c r="C3" s="290"/>
      <c r="D3" s="290"/>
      <c r="E3" s="63"/>
      <c r="F3" s="63"/>
      <c r="G3" s="64" t="s">
        <v>388</v>
      </c>
    </row>
    <row r="4" spans="1:7" ht="14.25" customHeight="1" x14ac:dyDescent="0.25">
      <c r="A4" s="31"/>
      <c r="B4" s="31"/>
      <c r="C4" s="290"/>
      <c r="D4" s="290"/>
      <c r="E4" s="63"/>
      <c r="F4" s="63"/>
      <c r="G4" s="64" t="s">
        <v>389</v>
      </c>
    </row>
    <row r="5" spans="1:7" ht="14.25" customHeight="1" x14ac:dyDescent="0.25">
      <c r="A5" s="31"/>
      <c r="B5" s="31"/>
      <c r="C5" s="290"/>
      <c r="D5" s="290"/>
      <c r="E5" s="31"/>
      <c r="F5" s="42"/>
      <c r="G5" s="31"/>
    </row>
    <row r="6" spans="1:7" ht="14.25" customHeight="1" x14ac:dyDescent="0.25">
      <c r="A6" s="396" t="s">
        <v>93</v>
      </c>
      <c r="B6" s="396"/>
      <c r="C6" s="396"/>
      <c r="D6" s="396"/>
      <c r="E6" s="396"/>
      <c r="F6" s="396"/>
      <c r="G6" s="396"/>
    </row>
    <row r="7" spans="1:7" ht="14.25" customHeight="1" x14ac:dyDescent="0.25">
      <c r="A7" s="396" t="s">
        <v>223</v>
      </c>
      <c r="B7" s="396"/>
      <c r="C7" s="396"/>
      <c r="D7" s="396"/>
      <c r="E7" s="396"/>
      <c r="F7" s="396"/>
      <c r="G7" s="396"/>
    </row>
    <row r="8" spans="1:7" ht="14.25" customHeight="1" x14ac:dyDescent="0.25">
      <c r="A8" s="353" t="s">
        <v>13</v>
      </c>
      <c r="B8" s="390" t="s">
        <v>95</v>
      </c>
      <c r="C8" s="391"/>
      <c r="D8" s="391"/>
      <c r="E8" s="392"/>
      <c r="F8" s="357" t="s">
        <v>96</v>
      </c>
      <c r="G8" s="357"/>
    </row>
    <row r="9" spans="1:7" ht="14.25" customHeight="1" x14ac:dyDescent="0.25">
      <c r="A9" s="354"/>
      <c r="B9" s="393"/>
      <c r="C9" s="394"/>
      <c r="D9" s="394"/>
      <c r="E9" s="395"/>
      <c r="F9" s="65" t="s">
        <v>97</v>
      </c>
      <c r="G9" s="88" t="s">
        <v>62</v>
      </c>
    </row>
    <row r="10" spans="1:7" ht="14.25" customHeight="1" x14ac:dyDescent="0.25">
      <c r="A10" s="109"/>
      <c r="B10" s="386" t="s">
        <v>126</v>
      </c>
      <c r="C10" s="387"/>
      <c r="D10" s="388"/>
      <c r="E10" s="109"/>
      <c r="F10" s="112">
        <v>74.34</v>
      </c>
      <c r="G10" s="113" t="s">
        <v>98</v>
      </c>
    </row>
    <row r="11" spans="1:7" ht="9" customHeight="1" x14ac:dyDescent="0.25">
      <c r="A11" s="109"/>
      <c r="B11" s="109"/>
      <c r="C11" s="113"/>
      <c r="D11" s="113"/>
      <c r="E11" s="109"/>
      <c r="F11" s="112"/>
      <c r="G11" s="113"/>
    </row>
    <row r="12" spans="1:7" ht="14.25" customHeight="1" x14ac:dyDescent="0.25">
      <c r="A12" s="109"/>
      <c r="B12" s="109" t="s">
        <v>99</v>
      </c>
      <c r="C12" s="113"/>
      <c r="D12" s="113"/>
      <c r="E12" s="138">
        <v>0.25</v>
      </c>
      <c r="F12" s="112">
        <f>F10*E12</f>
        <v>18.585000000000001</v>
      </c>
      <c r="G12" s="113" t="s">
        <v>98</v>
      </c>
    </row>
    <row r="13" spans="1:7" ht="9" customHeight="1" x14ac:dyDescent="0.25">
      <c r="A13" s="109"/>
      <c r="B13" s="109"/>
      <c r="C13" s="113"/>
      <c r="D13" s="113"/>
      <c r="E13" s="109"/>
      <c r="F13" s="112"/>
      <c r="G13" s="113"/>
    </row>
    <row r="14" spans="1:7" ht="14.25" customHeight="1" x14ac:dyDescent="0.25">
      <c r="A14" s="109"/>
      <c r="B14" s="109" t="s">
        <v>100</v>
      </c>
      <c r="C14" s="113"/>
      <c r="D14" s="113"/>
      <c r="E14" s="138">
        <v>0.1</v>
      </c>
      <c r="F14" s="112">
        <f>F10*E14</f>
        <v>7.4340000000000011</v>
      </c>
      <c r="G14" s="113" t="str">
        <f>G12</f>
        <v>руб.</v>
      </c>
    </row>
    <row r="15" spans="1:7" ht="9" customHeight="1" x14ac:dyDescent="0.25">
      <c r="A15" s="109"/>
      <c r="B15" s="109"/>
      <c r="C15" s="113"/>
      <c r="D15" s="113"/>
      <c r="E15" s="109"/>
      <c r="F15" s="112"/>
      <c r="G15" s="113"/>
    </row>
    <row r="16" spans="1:7" ht="14.25" customHeight="1" x14ac:dyDescent="0.25">
      <c r="A16" s="109"/>
      <c r="B16" s="109" t="s">
        <v>209</v>
      </c>
      <c r="C16" s="113"/>
      <c r="D16" s="113"/>
      <c r="E16" s="138">
        <v>0.04</v>
      </c>
      <c r="F16" s="112">
        <f>F10*E16</f>
        <v>2.9736000000000002</v>
      </c>
      <c r="G16" s="113" t="s">
        <v>98</v>
      </c>
    </row>
    <row r="17" spans="1:7" ht="9" customHeight="1" x14ac:dyDescent="0.25">
      <c r="A17" s="109"/>
      <c r="B17" s="109"/>
      <c r="C17" s="113"/>
      <c r="D17" s="113"/>
      <c r="E17" s="138"/>
      <c r="F17" s="112"/>
      <c r="G17" s="113"/>
    </row>
    <row r="18" spans="1:7" ht="14.25" customHeight="1" x14ac:dyDescent="0.25">
      <c r="A18" s="109"/>
      <c r="B18" s="109" t="s">
        <v>101</v>
      </c>
      <c r="C18" s="113"/>
      <c r="D18" s="113"/>
      <c r="E18" s="138">
        <v>0.4</v>
      </c>
      <c r="F18" s="112">
        <f>(F10)*E18</f>
        <v>29.736000000000004</v>
      </c>
      <c r="G18" s="113" t="s">
        <v>98</v>
      </c>
    </row>
    <row r="19" spans="1:7" ht="9" customHeight="1" x14ac:dyDescent="0.25">
      <c r="A19" s="109"/>
      <c r="B19" s="109"/>
      <c r="C19" s="113"/>
      <c r="D19" s="113"/>
      <c r="E19" s="138"/>
      <c r="F19" s="112"/>
      <c r="G19" s="113"/>
    </row>
    <row r="20" spans="1:7" ht="14.25" customHeight="1" x14ac:dyDescent="0.25">
      <c r="A20" s="109"/>
      <c r="B20" s="109" t="s">
        <v>102</v>
      </c>
      <c r="C20" s="113"/>
      <c r="D20" s="113"/>
      <c r="E20" s="109"/>
      <c r="F20" s="112">
        <v>60</v>
      </c>
      <c r="G20" s="113" t="s">
        <v>103</v>
      </c>
    </row>
    <row r="21" spans="1:7" ht="9" customHeight="1" x14ac:dyDescent="0.25">
      <c r="A21" s="109"/>
      <c r="B21" s="109"/>
      <c r="C21" s="113"/>
      <c r="D21" s="113"/>
      <c r="E21" s="109"/>
      <c r="F21" s="112"/>
      <c r="G21" s="109"/>
    </row>
    <row r="22" spans="1:7" ht="14.25" customHeight="1" x14ac:dyDescent="0.25">
      <c r="A22" s="117">
        <v>1</v>
      </c>
      <c r="B22" s="118" t="s">
        <v>104</v>
      </c>
      <c r="C22" s="117"/>
      <c r="D22" s="117"/>
      <c r="E22" s="118"/>
      <c r="F22" s="121">
        <f>F18+F16+F14+F12+F10</f>
        <v>133.0686</v>
      </c>
      <c r="G22" s="117" t="s">
        <v>98</v>
      </c>
    </row>
    <row r="23" spans="1:7" ht="14.25" customHeight="1" x14ac:dyDescent="0.25">
      <c r="A23" s="117"/>
      <c r="B23" s="118"/>
      <c r="C23" s="117"/>
      <c r="D23" s="113"/>
      <c r="E23" s="109"/>
      <c r="F23" s="112"/>
      <c r="G23" s="113"/>
    </row>
    <row r="24" spans="1:7" ht="14.25" customHeight="1" x14ac:dyDescent="0.25">
      <c r="A24" s="117">
        <v>2</v>
      </c>
      <c r="B24" s="118" t="s">
        <v>105</v>
      </c>
      <c r="C24" s="117"/>
      <c r="D24" s="117"/>
      <c r="E24" s="139">
        <v>0.30199999999999999</v>
      </c>
      <c r="F24" s="121">
        <f>E24*F22</f>
        <v>40.186717199999997</v>
      </c>
      <c r="G24" s="117" t="s">
        <v>98</v>
      </c>
    </row>
    <row r="25" spans="1:7" ht="14.25" customHeight="1" x14ac:dyDescent="0.25">
      <c r="A25" s="117"/>
      <c r="B25" s="118"/>
      <c r="C25" s="117"/>
      <c r="D25" s="113"/>
      <c r="E25" s="138"/>
      <c r="F25" s="112"/>
      <c r="G25" s="113"/>
    </row>
    <row r="26" spans="1:7" ht="14.25" customHeight="1" x14ac:dyDescent="0.25">
      <c r="A26" s="117">
        <v>3</v>
      </c>
      <c r="B26" s="118" t="s">
        <v>106</v>
      </c>
      <c r="C26" s="117"/>
      <c r="D26" s="117"/>
      <c r="E26" s="139"/>
      <c r="F26" s="121">
        <f>'Пробег КО-502Б-2'!E25</f>
        <v>124.40390864582884</v>
      </c>
      <c r="G26" s="117" t="s">
        <v>98</v>
      </c>
    </row>
    <row r="27" spans="1:7" ht="14.25" customHeight="1" x14ac:dyDescent="0.25">
      <c r="A27" s="117"/>
      <c r="B27" s="118"/>
      <c r="C27" s="117"/>
      <c r="D27" s="113"/>
      <c r="E27" s="138"/>
      <c r="F27" s="112"/>
      <c r="G27" s="113"/>
    </row>
    <row r="28" spans="1:7" ht="14.25" customHeight="1" x14ac:dyDescent="0.25">
      <c r="A28" s="117">
        <v>4</v>
      </c>
      <c r="B28" s="118" t="s">
        <v>108</v>
      </c>
      <c r="C28" s="117"/>
      <c r="D28" s="117"/>
      <c r="E28" s="139"/>
      <c r="F28" s="121">
        <f>'Пробег КО-502Б-2'!F25+200</f>
        <v>429.09378544445212</v>
      </c>
      <c r="G28" s="117" t="s">
        <v>98</v>
      </c>
    </row>
    <row r="29" spans="1:7" ht="14.25" customHeight="1" x14ac:dyDescent="0.25">
      <c r="A29" s="117"/>
      <c r="B29" s="118"/>
      <c r="C29" s="117"/>
      <c r="D29" s="113"/>
      <c r="E29" s="138"/>
      <c r="F29" s="112"/>
      <c r="G29" s="113"/>
    </row>
    <row r="30" spans="1:7" ht="14.25" customHeight="1" x14ac:dyDescent="0.25">
      <c r="A30" s="117">
        <v>5</v>
      </c>
      <c r="B30" s="118" t="s">
        <v>156</v>
      </c>
      <c r="C30" s="117"/>
      <c r="D30" s="113"/>
      <c r="E30" s="123"/>
      <c r="F30" s="108"/>
      <c r="G30" s="144"/>
    </row>
    <row r="31" spans="1:7" ht="14.25" customHeight="1" x14ac:dyDescent="0.25">
      <c r="A31" s="117"/>
      <c r="B31" s="118"/>
      <c r="C31" s="386" t="s">
        <v>224</v>
      </c>
      <c r="D31" s="388"/>
      <c r="E31" s="199"/>
      <c r="F31" s="112">
        <f>0.371*50</f>
        <v>18.55</v>
      </c>
      <c r="G31" s="113" t="s">
        <v>111</v>
      </c>
    </row>
    <row r="32" spans="1:7" ht="14.25" customHeight="1" x14ac:dyDescent="0.25">
      <c r="A32" s="117"/>
      <c r="B32" s="118"/>
      <c r="C32" s="386" t="s">
        <v>225</v>
      </c>
      <c r="D32" s="388"/>
      <c r="E32" s="206"/>
      <c r="F32" s="112">
        <f>11.3*2</f>
        <v>22.6</v>
      </c>
      <c r="G32" s="113" t="s">
        <v>111</v>
      </c>
    </row>
    <row r="33" spans="1:7" ht="14.25" customHeight="1" x14ac:dyDescent="0.25">
      <c r="A33" s="117"/>
      <c r="B33" s="118"/>
      <c r="C33" s="407">
        <f>F31+F32</f>
        <v>41.150000000000006</v>
      </c>
      <c r="D33" s="408"/>
      <c r="E33" s="206">
        <v>34.53</v>
      </c>
      <c r="F33" s="126">
        <f>C33*E33</f>
        <v>1420.9095000000002</v>
      </c>
      <c r="G33" s="113" t="s">
        <v>98</v>
      </c>
    </row>
    <row r="34" spans="1:7" ht="14.25" customHeight="1" x14ac:dyDescent="0.25">
      <c r="A34" s="117"/>
      <c r="B34" s="118"/>
      <c r="C34" s="117"/>
      <c r="D34" s="113"/>
      <c r="E34" s="138"/>
      <c r="F34" s="112"/>
      <c r="G34" s="113"/>
    </row>
    <row r="35" spans="1:7" ht="14.25" customHeight="1" x14ac:dyDescent="0.25">
      <c r="A35" s="117">
        <v>6</v>
      </c>
      <c r="B35" s="118" t="s">
        <v>112</v>
      </c>
      <c r="C35" s="117"/>
      <c r="D35" s="113"/>
      <c r="E35" s="109"/>
      <c r="F35" s="112"/>
      <c r="G35" s="113"/>
    </row>
    <row r="36" spans="1:7" ht="14.25" customHeight="1" x14ac:dyDescent="0.25">
      <c r="A36" s="117"/>
      <c r="B36" s="109" t="s">
        <v>113</v>
      </c>
      <c r="C36" s="142">
        <v>2.4E-2</v>
      </c>
      <c r="D36" s="207" t="s">
        <v>114</v>
      </c>
      <c r="E36" s="185">
        <v>186.99</v>
      </c>
      <c r="F36" s="112">
        <f>C36*$C$33*E36</f>
        <v>184.67132400000003</v>
      </c>
      <c r="G36" s="113" t="s">
        <v>98</v>
      </c>
    </row>
    <row r="37" spans="1:7" ht="14.25" customHeight="1" x14ac:dyDescent="0.25">
      <c r="A37" s="117"/>
      <c r="B37" s="109" t="s">
        <v>115</v>
      </c>
      <c r="C37" s="142">
        <v>3.0000000000000001E-3</v>
      </c>
      <c r="D37" s="208" t="s">
        <v>116</v>
      </c>
      <c r="E37" s="185">
        <v>107.82</v>
      </c>
      <c r="F37" s="112">
        <f>C37*$C$33*E37</f>
        <v>13.310379000000001</v>
      </c>
      <c r="G37" s="113" t="s">
        <v>98</v>
      </c>
    </row>
    <row r="38" spans="1:7" ht="14.25" customHeight="1" x14ac:dyDescent="0.25">
      <c r="A38" s="117"/>
      <c r="B38" s="109" t="s">
        <v>117</v>
      </c>
      <c r="C38" s="142">
        <v>1E-3</v>
      </c>
      <c r="D38" s="208" t="s">
        <v>116</v>
      </c>
      <c r="E38" s="185">
        <v>75.260000000000005</v>
      </c>
      <c r="F38" s="112">
        <f>C38*$C$33*E38</f>
        <v>3.0969490000000008</v>
      </c>
      <c r="G38" s="113" t="s">
        <v>98</v>
      </c>
    </row>
    <row r="39" spans="1:7" ht="14.25" customHeight="1" x14ac:dyDescent="0.25">
      <c r="A39" s="117"/>
      <c r="B39" s="109" t="s">
        <v>118</v>
      </c>
      <c r="C39" s="142">
        <v>2E-3</v>
      </c>
      <c r="D39" s="208" t="s">
        <v>116</v>
      </c>
      <c r="E39" s="185">
        <v>132.04</v>
      </c>
      <c r="F39" s="112">
        <f>C39*$C$33*E39</f>
        <v>10.866892000000002</v>
      </c>
      <c r="G39" s="113" t="s">
        <v>98</v>
      </c>
    </row>
    <row r="40" spans="1:7" ht="14.25" customHeight="1" x14ac:dyDescent="0.25">
      <c r="A40" s="117"/>
      <c r="B40" s="109" t="s">
        <v>119</v>
      </c>
      <c r="C40" s="181"/>
      <c r="D40" s="180"/>
      <c r="E40" s="209"/>
      <c r="F40" s="121">
        <f>SUM(F36:F39)</f>
        <v>211.94554400000004</v>
      </c>
      <c r="G40" s="117" t="s">
        <v>98</v>
      </c>
    </row>
    <row r="41" spans="1:7" ht="14.25" customHeight="1" x14ac:dyDescent="0.25">
      <c r="A41" s="117"/>
      <c r="B41" s="109"/>
      <c r="C41" s="113"/>
      <c r="D41" s="113"/>
      <c r="E41" s="138"/>
      <c r="F41" s="112"/>
      <c r="G41" s="113"/>
    </row>
    <row r="42" spans="1:7" ht="14.25" customHeight="1" x14ac:dyDescent="0.25">
      <c r="A42" s="117">
        <v>7</v>
      </c>
      <c r="B42" s="118" t="s">
        <v>120</v>
      </c>
      <c r="C42" s="117"/>
      <c r="D42" s="117"/>
      <c r="E42" s="122">
        <v>0.6</v>
      </c>
      <c r="F42" s="121">
        <f>F22*E42</f>
        <v>79.841160000000002</v>
      </c>
      <c r="G42" s="117" t="s">
        <v>98</v>
      </c>
    </row>
    <row r="43" spans="1:7" ht="14.25" customHeight="1" x14ac:dyDescent="0.25">
      <c r="A43" s="113"/>
      <c r="B43" s="109"/>
      <c r="C43" s="113"/>
      <c r="D43" s="113"/>
      <c r="E43" s="138"/>
      <c r="F43" s="112"/>
      <c r="G43" s="113"/>
    </row>
    <row r="44" spans="1:7" ht="14.25" customHeight="1" x14ac:dyDescent="0.25">
      <c r="A44" s="117">
        <v>8</v>
      </c>
      <c r="B44" s="118" t="s">
        <v>121</v>
      </c>
      <c r="C44" s="117"/>
      <c r="D44" s="117"/>
      <c r="E44" s="139"/>
      <c r="F44" s="121">
        <f>F22+F24+F26+F28+F33+F40+F42</f>
        <v>2439.4492152902812</v>
      </c>
      <c r="G44" s="117" t="s">
        <v>98</v>
      </c>
    </row>
    <row r="45" spans="1:7" ht="14.25" customHeight="1" x14ac:dyDescent="0.25">
      <c r="A45" s="117"/>
      <c r="B45" s="118"/>
      <c r="C45" s="117"/>
      <c r="D45" s="117"/>
      <c r="E45" s="139"/>
      <c r="F45" s="121"/>
      <c r="G45" s="117"/>
    </row>
    <row r="46" spans="1:7" ht="14.25" customHeight="1" x14ac:dyDescent="0.25">
      <c r="A46" s="117">
        <v>9</v>
      </c>
      <c r="B46" s="118" t="s">
        <v>122</v>
      </c>
      <c r="C46" s="117"/>
      <c r="D46" s="117"/>
      <c r="E46" s="139"/>
      <c r="F46" s="121"/>
      <c r="G46" s="117"/>
    </row>
    <row r="47" spans="1:7" ht="14.25" customHeight="1" x14ac:dyDescent="0.25">
      <c r="A47" s="113"/>
      <c r="B47" s="109" t="s">
        <v>123</v>
      </c>
      <c r="C47" s="113"/>
      <c r="D47" s="113"/>
      <c r="E47" s="138">
        <v>0.1</v>
      </c>
      <c r="F47" s="112">
        <f>F44*E47</f>
        <v>243.94492152902814</v>
      </c>
      <c r="G47" s="113" t="s">
        <v>98</v>
      </c>
    </row>
    <row r="48" spans="1:7" ht="14.25" customHeight="1" x14ac:dyDescent="0.25">
      <c r="A48" s="113"/>
      <c r="B48" s="109" t="s">
        <v>124</v>
      </c>
      <c r="C48" s="113"/>
      <c r="D48" s="113"/>
      <c r="E48" s="138">
        <v>0.15</v>
      </c>
      <c r="F48" s="112">
        <f>F44*E48</f>
        <v>365.91738229354218</v>
      </c>
      <c r="G48" s="113" t="s">
        <v>98</v>
      </c>
    </row>
    <row r="49" spans="1:7" ht="14.25" customHeight="1" x14ac:dyDescent="0.25">
      <c r="A49" s="113"/>
      <c r="B49" s="109"/>
      <c r="C49" s="113"/>
      <c r="D49" s="113"/>
      <c r="E49" s="138"/>
      <c r="F49" s="112"/>
      <c r="G49" s="113"/>
    </row>
    <row r="50" spans="1:7" ht="14.25" customHeight="1" x14ac:dyDescent="0.25">
      <c r="A50" s="117">
        <v>10</v>
      </c>
      <c r="B50" s="118" t="s">
        <v>125</v>
      </c>
      <c r="C50" s="117"/>
      <c r="D50" s="117"/>
      <c r="E50" s="139"/>
      <c r="F50" s="121"/>
      <c r="G50" s="117"/>
    </row>
    <row r="51" spans="1:7" ht="14.25" customHeight="1" x14ac:dyDescent="0.25">
      <c r="A51" s="113"/>
      <c r="B51" s="109" t="s">
        <v>123</v>
      </c>
      <c r="C51" s="113"/>
      <c r="D51" s="113"/>
      <c r="E51" s="138"/>
      <c r="F51" s="121">
        <f>F44+F47</f>
        <v>2683.3941368193096</v>
      </c>
      <c r="G51" s="117" t="s">
        <v>98</v>
      </c>
    </row>
    <row r="52" spans="1:7" ht="14.25" customHeight="1" x14ac:dyDescent="0.25">
      <c r="A52" s="113"/>
      <c r="B52" s="109" t="s">
        <v>124</v>
      </c>
      <c r="C52" s="113"/>
      <c r="D52" s="113"/>
      <c r="E52" s="138"/>
      <c r="F52" s="121">
        <f>F44+F48</f>
        <v>2805.3665975838235</v>
      </c>
      <c r="G52" s="117" t="s">
        <v>98</v>
      </c>
    </row>
    <row r="53" spans="1:7" ht="12.75" customHeight="1" x14ac:dyDescent="0.25">
      <c r="A53" s="104"/>
      <c r="B53" s="104"/>
      <c r="C53" s="135"/>
      <c r="D53" s="135"/>
      <c r="E53" s="104"/>
      <c r="F53" s="108"/>
      <c r="G53" s="104"/>
    </row>
    <row r="54" spans="1:7" ht="5.25" customHeight="1" x14ac:dyDescent="0.25">
      <c r="A54" s="104"/>
      <c r="B54" s="104"/>
      <c r="C54" s="135"/>
      <c r="D54" s="135"/>
      <c r="E54" s="104"/>
      <c r="F54" s="108"/>
      <c r="G54" s="104"/>
    </row>
    <row r="55" spans="1:7" ht="14.25" customHeight="1" x14ac:dyDescent="0.25">
      <c r="A55" s="31"/>
      <c r="B55" s="83" t="s">
        <v>55</v>
      </c>
      <c r="C55" s="83"/>
      <c r="D55" s="83"/>
      <c r="E55" s="31"/>
      <c r="F55" s="62" t="s">
        <v>57</v>
      </c>
      <c r="G55" s="31"/>
    </row>
    <row r="56" spans="1:7" ht="14.25" customHeight="1" x14ac:dyDescent="0.25">
      <c r="A56" s="31"/>
      <c r="B56" s="84" t="s">
        <v>56</v>
      </c>
      <c r="C56" s="83"/>
      <c r="D56" s="83"/>
      <c r="E56" s="31"/>
      <c r="F56" s="42"/>
      <c r="G56" s="31"/>
    </row>
  </sheetData>
  <mergeCells count="9">
    <mergeCell ref="C31:D31"/>
    <mergeCell ref="C32:D32"/>
    <mergeCell ref="C33:D33"/>
    <mergeCell ref="A6:G6"/>
    <mergeCell ref="A7:G7"/>
    <mergeCell ref="A8:A9"/>
    <mergeCell ref="B8:E9"/>
    <mergeCell ref="F8:G8"/>
    <mergeCell ref="B10:D10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3"/>
  <sheetViews>
    <sheetView tabSelected="1" topLeftCell="A7" workbookViewId="0">
      <selection activeCell="K25" sqref="K25"/>
    </sheetView>
  </sheetViews>
  <sheetFormatPr defaultRowHeight="15" x14ac:dyDescent="0.25"/>
  <cols>
    <col min="1" max="1" width="5.85546875" customWidth="1"/>
    <col min="2" max="2" width="35.85546875" customWidth="1"/>
    <col min="3" max="3" width="12.140625" customWidth="1"/>
    <col min="4" max="4" width="16.42578125" customWidth="1"/>
    <col min="5" max="5" width="22.42578125" customWidth="1"/>
    <col min="6" max="6" width="7.5703125" customWidth="1"/>
    <col min="7" max="7" width="5.42578125" customWidth="1"/>
  </cols>
  <sheetData>
    <row r="1" spans="1:8" ht="15.75" x14ac:dyDescent="0.25">
      <c r="A1" s="45"/>
      <c r="B1" s="46"/>
      <c r="C1" s="45"/>
      <c r="D1" s="347" t="s">
        <v>59</v>
      </c>
      <c r="E1" s="348"/>
      <c r="F1" s="45"/>
      <c r="G1" s="47"/>
    </row>
    <row r="2" spans="1:8" ht="15.75" x14ac:dyDescent="0.25">
      <c r="A2" s="45"/>
      <c r="B2" s="46"/>
      <c r="C2" s="349" t="s">
        <v>60</v>
      </c>
      <c r="D2" s="350"/>
      <c r="E2" s="350"/>
      <c r="F2" s="45"/>
      <c r="G2" s="47"/>
    </row>
    <row r="3" spans="1:8" ht="15.75" x14ac:dyDescent="0.25">
      <c r="A3" s="45"/>
      <c r="B3" s="46"/>
      <c r="C3" s="45"/>
      <c r="D3" s="347" t="s">
        <v>381</v>
      </c>
      <c r="E3" s="347"/>
      <c r="F3" s="45"/>
      <c r="G3" s="47"/>
    </row>
    <row r="4" spans="1:8" ht="15.75" x14ac:dyDescent="0.25">
      <c r="A4" s="45"/>
      <c r="B4" s="46"/>
      <c r="C4" s="45"/>
      <c r="D4" s="347" t="s">
        <v>384</v>
      </c>
      <c r="E4" s="347"/>
      <c r="F4" s="45"/>
      <c r="G4" s="47"/>
    </row>
    <row r="5" spans="1:8" ht="18.75" x14ac:dyDescent="0.25">
      <c r="A5" s="351" t="s">
        <v>383</v>
      </c>
      <c r="B5" s="351"/>
      <c r="C5" s="351"/>
      <c r="D5" s="351"/>
      <c r="E5" s="351"/>
      <c r="F5" s="48"/>
      <c r="G5" s="49"/>
    </row>
    <row r="6" spans="1:8" ht="19.5" thickBot="1" x14ac:dyDescent="0.3">
      <c r="A6" s="351" t="s">
        <v>382</v>
      </c>
      <c r="B6" s="351"/>
      <c r="C6" s="351"/>
      <c r="D6" s="351"/>
      <c r="E6" s="351"/>
      <c r="F6" s="48"/>
      <c r="G6" s="49"/>
    </row>
    <row r="7" spans="1:8" ht="57" customHeight="1" thickBot="1" x14ac:dyDescent="0.3">
      <c r="A7" s="345" t="s">
        <v>13</v>
      </c>
      <c r="B7" s="345" t="s">
        <v>61</v>
      </c>
      <c r="C7" s="345" t="s">
        <v>62</v>
      </c>
      <c r="D7" s="288" t="s">
        <v>63</v>
      </c>
      <c r="E7" s="289" t="s">
        <v>64</v>
      </c>
      <c r="F7" s="48" t="s">
        <v>385</v>
      </c>
      <c r="G7" s="49" t="s">
        <v>65</v>
      </c>
    </row>
    <row r="8" spans="1:8" ht="16.5" thickBot="1" x14ac:dyDescent="0.3">
      <c r="A8" s="346"/>
      <c r="B8" s="346"/>
      <c r="C8" s="346"/>
      <c r="D8" s="50" t="s">
        <v>66</v>
      </c>
      <c r="E8" s="50" t="s">
        <v>66</v>
      </c>
      <c r="F8" s="48"/>
      <c r="G8" s="49"/>
    </row>
    <row r="9" spans="1:8" ht="15" customHeight="1" thickBot="1" x14ac:dyDescent="0.3">
      <c r="A9" s="51">
        <v>1</v>
      </c>
      <c r="B9" s="52" t="s">
        <v>20</v>
      </c>
      <c r="C9" s="50" t="s">
        <v>67</v>
      </c>
      <c r="D9" s="53">
        <f>'ГАЗ 3307 фургон'!F49</f>
        <v>1064.8227000117054</v>
      </c>
      <c r="E9" s="53">
        <f>'ГАЗ 3307 фургон'!F50</f>
        <v>1113.2237318304192</v>
      </c>
      <c r="F9" s="48">
        <v>971.82</v>
      </c>
      <c r="G9" s="54">
        <f>D9/F9*100</f>
        <v>109.56995122674007</v>
      </c>
      <c r="H9" s="300"/>
    </row>
    <row r="10" spans="1:8" ht="15" customHeight="1" thickBot="1" x14ac:dyDescent="0.3">
      <c r="A10" s="51">
        <v>2</v>
      </c>
      <c r="B10" s="52" t="s">
        <v>21</v>
      </c>
      <c r="C10" s="50" t="s">
        <v>67</v>
      </c>
      <c r="D10" s="53">
        <f>'ГАЗ 430100'!F47</f>
        <v>795.69460220356007</v>
      </c>
      <c r="E10" s="53">
        <f>'ГАЗ 430100'!F48</f>
        <v>831.86253866735819</v>
      </c>
      <c r="F10" s="48">
        <v>775.02</v>
      </c>
      <c r="G10" s="54">
        <f>D10/F10*100</f>
        <v>102.66762176505897</v>
      </c>
      <c r="H10" s="300"/>
    </row>
    <row r="11" spans="1:8" ht="15" customHeight="1" thickBot="1" x14ac:dyDescent="0.3">
      <c r="A11" s="51">
        <v>3</v>
      </c>
      <c r="B11" s="52" t="s">
        <v>22</v>
      </c>
      <c r="C11" s="50" t="s">
        <v>67</v>
      </c>
      <c r="D11" s="53">
        <f>УАЗ!F47</f>
        <v>792.00684974234832</v>
      </c>
      <c r="E11" s="53">
        <f>УАЗ!F48</f>
        <v>828.00716109427321</v>
      </c>
      <c r="F11" s="48">
        <v>756.36</v>
      </c>
      <c r="G11" s="54">
        <f>D11/F11*100</f>
        <v>104.71294750414464</v>
      </c>
      <c r="H11" s="300"/>
    </row>
    <row r="12" spans="1:8" ht="15" customHeight="1" thickBot="1" x14ac:dyDescent="0.3">
      <c r="A12" s="51">
        <v>4</v>
      </c>
      <c r="B12" s="52" t="s">
        <v>23</v>
      </c>
      <c r="C12" s="50" t="s">
        <v>67</v>
      </c>
      <c r="D12" s="53">
        <f>Нива!F48</f>
        <v>638.30953853088647</v>
      </c>
      <c r="E12" s="53">
        <f>Нива!F49</f>
        <v>667.32360846410859</v>
      </c>
      <c r="F12" s="48">
        <v>605.14</v>
      </c>
      <c r="G12" s="54">
        <f>D12/F12*100</f>
        <v>105.48129995222371</v>
      </c>
      <c r="H12" s="300"/>
    </row>
    <row r="13" spans="1:8" ht="15" customHeight="1" thickBot="1" x14ac:dyDescent="0.3">
      <c r="A13" s="51">
        <v>5</v>
      </c>
      <c r="B13" s="52" t="s">
        <v>24</v>
      </c>
      <c r="C13" s="50" t="s">
        <v>67</v>
      </c>
      <c r="D13" s="53">
        <f>'МАЗ-5551'!F49</f>
        <v>1287.8317418295981</v>
      </c>
      <c r="E13" s="53">
        <f>'МАЗ-5551'!F50</f>
        <v>1346.3695482763981</v>
      </c>
      <c r="F13" s="48">
        <v>1330.69</v>
      </c>
      <c r="G13" s="54">
        <f>D13/F13*100</f>
        <v>96.779245491406556</v>
      </c>
      <c r="H13" s="300"/>
    </row>
    <row r="14" spans="1:8" ht="15" customHeight="1" thickBot="1" x14ac:dyDescent="0.3">
      <c r="A14" s="51">
        <v>6</v>
      </c>
      <c r="B14" s="52" t="s">
        <v>44</v>
      </c>
      <c r="C14" s="50"/>
      <c r="D14" s="53"/>
      <c r="E14" s="53"/>
      <c r="F14" s="48"/>
      <c r="G14" s="54"/>
      <c r="H14" s="300"/>
    </row>
    <row r="15" spans="1:8" ht="15" customHeight="1" thickBot="1" x14ac:dyDescent="0.3">
      <c r="A15" s="51"/>
      <c r="B15" s="52" t="s">
        <v>68</v>
      </c>
      <c r="C15" s="50" t="s">
        <v>69</v>
      </c>
      <c r="D15" s="53">
        <f>'УРАЛ-5557'!F45</f>
        <v>42.378003329674314</v>
      </c>
      <c r="E15" s="53">
        <f>'УРАЛ-5557'!F46</f>
        <v>44.304276208295875</v>
      </c>
      <c r="F15" s="48">
        <v>38.93</v>
      </c>
      <c r="G15" s="54">
        <f t="shared" ref="G15:G20" si="0">D15/F15*100</f>
        <v>108.85693123471441</v>
      </c>
      <c r="H15" s="300"/>
    </row>
    <row r="16" spans="1:8" ht="15" customHeight="1" thickBot="1" x14ac:dyDescent="0.3">
      <c r="A16" s="51"/>
      <c r="B16" s="52" t="s">
        <v>70</v>
      </c>
      <c r="C16" s="50" t="s">
        <v>67</v>
      </c>
      <c r="D16" s="53">
        <f>'УРАЛ-5557'!H45</f>
        <v>1245.9592759869724</v>
      </c>
      <c r="E16" s="53">
        <f>'УРАЛ-5557'!H46</f>
        <v>1302.5937885318349</v>
      </c>
      <c r="F16" s="48">
        <v>1117</v>
      </c>
      <c r="G16" s="54">
        <f>D16/F16*100</f>
        <v>111.54514556732072</v>
      </c>
      <c r="H16" s="300"/>
    </row>
    <row r="17" spans="1:8" ht="15" customHeight="1" thickBot="1" x14ac:dyDescent="0.3">
      <c r="A17" s="51">
        <v>7</v>
      </c>
      <c r="B17" s="52" t="s">
        <v>26</v>
      </c>
      <c r="C17" s="50" t="s">
        <v>67</v>
      </c>
      <c r="D17" s="53">
        <f>'ГАЗ-3307 АСМ'!F49</f>
        <v>1078.41004845713</v>
      </c>
      <c r="E17" s="53">
        <f>'ГАЗ-3307 АСМ'!F50</f>
        <v>1127.428687023363</v>
      </c>
      <c r="F17" s="48">
        <v>1076.3499999999999</v>
      </c>
      <c r="G17" s="54">
        <f t="shared" si="0"/>
        <v>100.19139206179497</v>
      </c>
      <c r="H17" s="300"/>
    </row>
    <row r="18" spans="1:8" ht="15" customHeight="1" thickBot="1" x14ac:dyDescent="0.3">
      <c r="A18" s="51">
        <v>8</v>
      </c>
      <c r="B18" s="52" t="s">
        <v>27</v>
      </c>
      <c r="C18" s="50" t="s">
        <v>67</v>
      </c>
      <c r="D18" s="53">
        <f>'ГАЗ 3309'!F50</f>
        <v>1031.4201192857565</v>
      </c>
      <c r="E18" s="53">
        <f>'ГАЗ 3309'!F51</f>
        <v>1078.3028519805637</v>
      </c>
      <c r="F18" s="48">
        <v>979.38</v>
      </c>
      <c r="G18" s="54">
        <f t="shared" si="0"/>
        <v>105.31357790497626</v>
      </c>
      <c r="H18" s="300"/>
    </row>
    <row r="19" spans="1:8" ht="46.5" customHeight="1" thickBot="1" x14ac:dyDescent="0.3">
      <c r="A19" s="51">
        <v>9</v>
      </c>
      <c r="B19" s="55" t="s">
        <v>408</v>
      </c>
      <c r="C19" s="50" t="s">
        <v>67</v>
      </c>
      <c r="D19" s="53">
        <f>'КО-502 +слесари'!F61</f>
        <v>3262.7620617793086</v>
      </c>
      <c r="E19" s="53">
        <f>'КО-502 +слесари'!F62</f>
        <v>3411.0694282238228</v>
      </c>
      <c r="F19" s="48">
        <v>3172.8</v>
      </c>
      <c r="G19" s="54">
        <f t="shared" si="0"/>
        <v>102.83541546203065</v>
      </c>
      <c r="H19" s="300"/>
    </row>
    <row r="20" spans="1:8" ht="30" customHeight="1" thickBot="1" x14ac:dyDescent="0.3">
      <c r="A20" s="51">
        <v>10</v>
      </c>
      <c r="B20" s="55" t="s">
        <v>407</v>
      </c>
      <c r="C20" s="50" t="s">
        <v>71</v>
      </c>
      <c r="D20" s="53">
        <f>'КО-502Б-2'!F51</f>
        <v>2683.3941368193096</v>
      </c>
      <c r="E20" s="53">
        <f>'КО-502Б-2'!F52</f>
        <v>2805.3665975838235</v>
      </c>
      <c r="F20" s="291">
        <v>2612.66</v>
      </c>
      <c r="G20" s="54">
        <f t="shared" si="0"/>
        <v>102.70736095853688</v>
      </c>
      <c r="H20" s="300"/>
    </row>
    <row r="21" spans="1:8" ht="15" customHeight="1" thickBot="1" x14ac:dyDescent="0.3">
      <c r="A21" s="51">
        <v>11</v>
      </c>
      <c r="B21" s="52" t="s">
        <v>72</v>
      </c>
      <c r="C21" s="50"/>
      <c r="D21" s="53"/>
      <c r="E21" s="53"/>
      <c r="F21" s="48"/>
      <c r="G21" s="54"/>
      <c r="H21" s="300"/>
    </row>
    <row r="22" spans="1:8" ht="14.25" customHeight="1" thickBot="1" x14ac:dyDescent="0.3">
      <c r="A22" s="56"/>
      <c r="B22" s="57" t="s">
        <v>73</v>
      </c>
      <c r="C22" s="50" t="s">
        <v>74</v>
      </c>
      <c r="D22" s="53">
        <f>Снегоуборочная!H36</f>
        <v>93.856981953942167</v>
      </c>
      <c r="E22" s="53">
        <f>Снегоуборочная!H37</f>
        <v>98.123208406394085</v>
      </c>
      <c r="F22" s="48">
        <v>81.37</v>
      </c>
      <c r="G22" s="54">
        <f>D22/F22*100</f>
        <v>115.34592841826492</v>
      </c>
      <c r="H22" s="300"/>
    </row>
    <row r="23" spans="1:8" ht="14.25" customHeight="1" thickBot="1" x14ac:dyDescent="0.3">
      <c r="A23" s="56"/>
      <c r="B23" s="57" t="s">
        <v>75</v>
      </c>
      <c r="C23" s="50" t="s">
        <v>74</v>
      </c>
      <c r="D23" s="53">
        <f>Снегоуборочная!I36</f>
        <v>148.01002340869624</v>
      </c>
      <c r="E23" s="53">
        <f>Снегоуборочная!I37</f>
        <v>154.73775174545517</v>
      </c>
      <c r="F23" s="48">
        <v>112.5</v>
      </c>
      <c r="G23" s="54">
        <f>D23/F23*100</f>
        <v>131.56446525217444</v>
      </c>
      <c r="H23" s="300"/>
    </row>
    <row r="24" spans="1:8" ht="14.25" customHeight="1" thickBot="1" x14ac:dyDescent="0.3">
      <c r="A24" s="56"/>
      <c r="B24" s="57" t="s">
        <v>76</v>
      </c>
      <c r="C24" s="50" t="s">
        <v>74</v>
      </c>
      <c r="D24" s="53">
        <f>Снегоуборочная!J36</f>
        <v>148.01002340869624</v>
      </c>
      <c r="E24" s="53">
        <f>Снегоуборочная!J37</f>
        <v>154.73775174545517</v>
      </c>
      <c r="F24" s="48">
        <v>112.5</v>
      </c>
      <c r="G24" s="54"/>
      <c r="H24" s="300"/>
    </row>
    <row r="25" spans="1:8" ht="14.25" customHeight="1" thickBot="1" x14ac:dyDescent="0.3">
      <c r="A25" s="56"/>
      <c r="B25" s="57" t="s">
        <v>77</v>
      </c>
      <c r="C25" s="50" t="s">
        <v>74</v>
      </c>
      <c r="D25" s="53">
        <f>Снегоуборочная!K36</f>
        <v>155.15098745869628</v>
      </c>
      <c r="E25" s="53">
        <f>Снегоуборочная!K37</f>
        <v>162.2033050704552</v>
      </c>
      <c r="F25" s="48">
        <v>118.24</v>
      </c>
      <c r="G25" s="54">
        <f>D25/F25*100</f>
        <v>131.21700563150904</v>
      </c>
      <c r="H25" s="300"/>
    </row>
    <row r="26" spans="1:8" ht="14.25" customHeight="1" thickBot="1" x14ac:dyDescent="0.3">
      <c r="A26" s="56"/>
      <c r="B26" s="57" t="s">
        <v>78</v>
      </c>
      <c r="C26" s="50" t="s">
        <v>74</v>
      </c>
      <c r="D26" s="53">
        <f>Снегоуборочная!L36</f>
        <v>155.15098745869628</v>
      </c>
      <c r="E26" s="53">
        <f>Снегоуборочная!L37</f>
        <v>162.2033050704552</v>
      </c>
      <c r="F26" s="48">
        <v>118.24</v>
      </c>
      <c r="G26" s="54"/>
      <c r="H26" s="300"/>
    </row>
    <row r="27" spans="1:8" ht="32.25" customHeight="1" thickBot="1" x14ac:dyDescent="0.3">
      <c r="A27" s="56"/>
      <c r="B27" s="57" t="s">
        <v>79</v>
      </c>
      <c r="C27" s="50"/>
      <c r="D27" s="53"/>
      <c r="E27" s="53"/>
      <c r="F27" s="48"/>
      <c r="G27" s="54"/>
      <c r="H27" s="300"/>
    </row>
    <row r="28" spans="1:8" ht="14.25" customHeight="1" thickBot="1" x14ac:dyDescent="0.3">
      <c r="A28" s="56"/>
      <c r="B28" s="57" t="s">
        <v>80</v>
      </c>
      <c r="C28" s="50" t="s">
        <v>81</v>
      </c>
      <c r="D28" s="53">
        <f>Снегоуборочная!M36</f>
        <v>272.25494734325741</v>
      </c>
      <c r="E28" s="53">
        <f>Снегоуборочная!M37</f>
        <v>284.63017222249641</v>
      </c>
      <c r="F28" s="48">
        <v>236.83</v>
      </c>
      <c r="G28" s="54">
        <f>D28/F28*100</f>
        <v>114.95796450756129</v>
      </c>
      <c r="H28" s="300"/>
    </row>
    <row r="29" spans="1:8" ht="14.25" customHeight="1" thickBot="1" x14ac:dyDescent="0.3">
      <c r="A29" s="56"/>
      <c r="B29" s="57" t="s">
        <v>82</v>
      </c>
      <c r="C29" s="50" t="s">
        <v>81</v>
      </c>
      <c r="D29" s="53">
        <f>Снегоуборочная!N36</f>
        <v>384.12494734325742</v>
      </c>
      <c r="E29" s="53">
        <f>Снегоуборочная!N37</f>
        <v>401.5851722224964</v>
      </c>
      <c r="F29" s="48">
        <v>339.13</v>
      </c>
      <c r="G29" s="54">
        <f>D29/F29*100</f>
        <v>113.26775789321424</v>
      </c>
      <c r="H29" s="300"/>
    </row>
    <row r="30" spans="1:8" ht="14.25" customHeight="1" thickBot="1" x14ac:dyDescent="0.3">
      <c r="A30" s="56"/>
      <c r="B30" s="57" t="s">
        <v>83</v>
      </c>
      <c r="C30" s="50" t="s">
        <v>81</v>
      </c>
      <c r="D30" s="53">
        <f>Снегоуборочная!O36</f>
        <v>150.52800793798843</v>
      </c>
      <c r="E30" s="53">
        <f>Снегоуборочная!O37</f>
        <v>157.37019011698789</v>
      </c>
      <c r="F30" s="48">
        <v>125.88</v>
      </c>
      <c r="G30" s="54">
        <f>D30/F30*100</f>
        <v>119.58055921352752</v>
      </c>
      <c r="H30" s="300"/>
    </row>
    <row r="31" spans="1:8" ht="14.25" customHeight="1" thickBot="1" x14ac:dyDescent="0.3">
      <c r="A31" s="56"/>
      <c r="B31" s="57" t="s">
        <v>84</v>
      </c>
      <c r="C31" s="50" t="s">
        <v>81</v>
      </c>
      <c r="D31" s="53">
        <f>Снегоуборочная!P36</f>
        <v>213.77322342746277</v>
      </c>
      <c r="E31" s="53">
        <f>Снегоуборочная!P37</f>
        <v>223.49018812871108</v>
      </c>
      <c r="F31" s="48">
        <v>183.67</v>
      </c>
      <c r="G31" s="54">
        <f>D31/F31*100</f>
        <v>116.38984234086284</v>
      </c>
      <c r="H31" s="300"/>
    </row>
    <row r="32" spans="1:8" ht="14.25" customHeight="1" thickBot="1" x14ac:dyDescent="0.3">
      <c r="A32" s="56"/>
      <c r="B32" s="57" t="s">
        <v>85</v>
      </c>
      <c r="C32" s="50" t="s">
        <v>81</v>
      </c>
      <c r="D32" s="53">
        <f>Снегоуборочная!Q36</f>
        <v>139.19322342746275</v>
      </c>
      <c r="E32" s="53">
        <f>Снегоуборочная!Q37</f>
        <v>145.52018812871106</v>
      </c>
      <c r="F32" s="48">
        <v>115.47</v>
      </c>
      <c r="G32" s="54">
        <f>D32/F32*100</f>
        <v>120.54492372690981</v>
      </c>
      <c r="H32" s="300"/>
    </row>
    <row r="33" spans="1:8" ht="14.25" customHeight="1" thickBot="1" x14ac:dyDescent="0.3">
      <c r="A33" s="56"/>
      <c r="B33" s="57" t="s">
        <v>86</v>
      </c>
      <c r="C33" s="50" t="s">
        <v>74</v>
      </c>
      <c r="D33" s="53">
        <f>'Полив дневной '!H34</f>
        <v>93.856981953942167</v>
      </c>
      <c r="E33" s="53">
        <f>'Полив дневной '!H35</f>
        <v>98.13320840639409</v>
      </c>
      <c r="F33" s="48"/>
      <c r="G33" s="54"/>
      <c r="H33" s="300"/>
    </row>
    <row r="34" spans="1:8" ht="14.25" customHeight="1" thickBot="1" x14ac:dyDescent="0.3">
      <c r="A34" s="56"/>
      <c r="B34" s="57" t="s">
        <v>87</v>
      </c>
      <c r="C34" s="50" t="s">
        <v>71</v>
      </c>
      <c r="D34" s="53">
        <f>'Полив дневной '!I34</f>
        <v>1385.5323369870491</v>
      </c>
      <c r="E34" s="53">
        <f>'Полив дневной '!I35</f>
        <v>1448.5110795773696</v>
      </c>
      <c r="F34" s="291">
        <v>1241.76</v>
      </c>
      <c r="G34" s="54">
        <f t="shared" ref="G34:G41" si="1">D34/F34*100</f>
        <v>111.57810985915549</v>
      </c>
      <c r="H34" s="300"/>
    </row>
    <row r="35" spans="1:8" ht="14.25" customHeight="1" thickBot="1" x14ac:dyDescent="0.3">
      <c r="A35" s="56"/>
      <c r="B35" s="57" t="s">
        <v>88</v>
      </c>
      <c r="C35" s="50" t="s">
        <v>74</v>
      </c>
      <c r="D35" s="53">
        <f>'Полив ночной'!H34</f>
        <v>97.745485096799314</v>
      </c>
      <c r="E35" s="53">
        <f>'Полив ночной'!H35</f>
        <v>102.19846169210837</v>
      </c>
      <c r="F35" s="48">
        <v>85.93</v>
      </c>
      <c r="G35" s="54">
        <f t="shared" si="1"/>
        <v>113.7501281238209</v>
      </c>
      <c r="H35" s="300"/>
    </row>
    <row r="36" spans="1:8" ht="14.25" customHeight="1" thickBot="1" x14ac:dyDescent="0.3">
      <c r="A36" s="56"/>
      <c r="B36" s="57" t="s">
        <v>89</v>
      </c>
      <c r="C36" s="50" t="s">
        <v>71</v>
      </c>
      <c r="D36" s="53">
        <f>'Полив ночной'!I34</f>
        <v>1521.6299469870492</v>
      </c>
      <c r="E36" s="53">
        <f>'Полив ночной'!I35</f>
        <v>1590.7949445773695</v>
      </c>
      <c r="F36" s="291">
        <v>1383.47</v>
      </c>
      <c r="G36" s="54">
        <f t="shared" si="1"/>
        <v>109.98647943121638</v>
      </c>
      <c r="H36" s="300"/>
    </row>
    <row r="37" spans="1:8" ht="16.5" thickBot="1" x14ac:dyDescent="0.3">
      <c r="A37" s="51">
        <v>12</v>
      </c>
      <c r="B37" s="52" t="s">
        <v>90</v>
      </c>
      <c r="C37" s="50" t="s">
        <v>67</v>
      </c>
      <c r="D37" s="53">
        <f>'МТЗ-80 с тележкой'!F47</f>
        <v>849.67757621075884</v>
      </c>
      <c r="E37" s="53">
        <f>'МТЗ-80 с тележкой'!F48</f>
        <v>888.29928422033879</v>
      </c>
      <c r="F37" s="48">
        <v>808.19</v>
      </c>
      <c r="G37" s="54">
        <f t="shared" si="1"/>
        <v>105.13339390622983</v>
      </c>
      <c r="H37" s="300"/>
    </row>
    <row r="38" spans="1:8" ht="16.5" thickBot="1" x14ac:dyDescent="0.3">
      <c r="A38" s="51">
        <v>13</v>
      </c>
      <c r="B38" s="52" t="s">
        <v>91</v>
      </c>
      <c r="C38" s="50" t="s">
        <v>71</v>
      </c>
      <c r="D38" s="53">
        <f>'МТЗ-80 покос'!F52</f>
        <v>1736.3171762107586</v>
      </c>
      <c r="E38" s="53">
        <f>'МТЗ-80 покос'!F53</f>
        <v>1815.2406842203386</v>
      </c>
      <c r="F38" s="48">
        <v>1631.5</v>
      </c>
      <c r="G38" s="54">
        <f t="shared" si="1"/>
        <v>106.42458940917921</v>
      </c>
      <c r="H38" s="300"/>
    </row>
    <row r="39" spans="1:8" ht="15" customHeight="1" thickBot="1" x14ac:dyDescent="0.3">
      <c r="A39" s="51">
        <v>14</v>
      </c>
      <c r="B39" s="52" t="s">
        <v>46</v>
      </c>
      <c r="C39" s="50" t="s">
        <v>67</v>
      </c>
      <c r="D39" s="53">
        <f>'ЭО 2626'!F47</f>
        <v>1161.6146150098225</v>
      </c>
      <c r="E39" s="53">
        <f>'ЭО 2626'!F48</f>
        <v>1214.4152793284509</v>
      </c>
      <c r="F39" s="48">
        <v>1088.0999999999999</v>
      </c>
      <c r="G39" s="54">
        <f t="shared" si="1"/>
        <v>106.75623701955909</v>
      </c>
      <c r="H39" s="300"/>
    </row>
    <row r="40" spans="1:8" ht="15" customHeight="1" thickBot="1" x14ac:dyDescent="0.3">
      <c r="A40" s="51">
        <v>15</v>
      </c>
      <c r="B40" s="52" t="s">
        <v>92</v>
      </c>
      <c r="C40" s="50" t="s">
        <v>67</v>
      </c>
      <c r="D40" s="53">
        <f>САГ!F32</f>
        <v>171.31493500000002</v>
      </c>
      <c r="E40" s="53">
        <f>САГ!F33</f>
        <v>179.10197750000003</v>
      </c>
      <c r="F40" s="48">
        <v>179.18</v>
      </c>
      <c r="G40" s="54">
        <f t="shared" si="1"/>
        <v>95.610522937827895</v>
      </c>
      <c r="H40" s="300"/>
    </row>
    <row r="41" spans="1:8" ht="15" customHeight="1" thickBot="1" x14ac:dyDescent="0.3">
      <c r="A41" s="51">
        <v>16</v>
      </c>
      <c r="B41" s="52" t="s">
        <v>349</v>
      </c>
      <c r="C41" s="50" t="s">
        <v>67</v>
      </c>
      <c r="D41" s="53">
        <f>'Автогрейдер ДЗ-180'!F47</f>
        <v>2094.8777099048366</v>
      </c>
      <c r="E41" s="53">
        <f>'Автогрейдер ДЗ-180'!F48</f>
        <v>2190.0994239914203</v>
      </c>
      <c r="F41" s="48">
        <v>1787.64</v>
      </c>
      <c r="G41" s="54">
        <f t="shared" si="1"/>
        <v>117.18677753377843</v>
      </c>
      <c r="H41" s="300"/>
    </row>
    <row r="42" spans="1:8" ht="15.75" x14ac:dyDescent="0.25">
      <c r="A42" s="58"/>
      <c r="B42" s="59"/>
      <c r="C42" s="60"/>
      <c r="D42" s="61"/>
      <c r="E42" s="61"/>
      <c r="F42" s="48"/>
      <c r="G42" s="54"/>
    </row>
    <row r="43" spans="1:8" ht="15.75" x14ac:dyDescent="0.25">
      <c r="A43" s="48"/>
      <c r="B43" s="44" t="s">
        <v>55</v>
      </c>
      <c r="C43" s="44"/>
      <c r="D43" s="44"/>
      <c r="E43" s="62" t="s">
        <v>57</v>
      </c>
      <c r="F43" s="48"/>
      <c r="G43" s="49"/>
    </row>
  </sheetData>
  <mergeCells count="9">
    <mergeCell ref="A7:A8"/>
    <mergeCell ref="B7:B8"/>
    <mergeCell ref="C7:C8"/>
    <mergeCell ref="D1:E1"/>
    <mergeCell ref="C2:E2"/>
    <mergeCell ref="D3:E3"/>
    <mergeCell ref="D4:E4"/>
    <mergeCell ref="A5:E5"/>
    <mergeCell ref="A6:E6"/>
  </mergeCells>
  <pageMargins left="0.25" right="0.25" top="0.75" bottom="0.75" header="0.3" footer="0.3"/>
  <pageSetup paperSize="9" scale="99" fitToWidth="0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65"/>
  <sheetViews>
    <sheetView topLeftCell="A19" workbookViewId="0">
      <selection activeCell="F38" sqref="F38"/>
    </sheetView>
  </sheetViews>
  <sheetFormatPr defaultRowHeight="15" x14ac:dyDescent="0.25"/>
  <cols>
    <col min="1" max="1" width="5" customWidth="1"/>
    <col min="2" max="2" width="30.28515625" customWidth="1"/>
    <col min="3" max="3" width="10.140625" customWidth="1"/>
    <col min="4" max="4" width="14.140625" customWidth="1"/>
    <col min="5" max="5" width="9.85546875" customWidth="1"/>
    <col min="6" max="6" width="17.85546875" customWidth="1"/>
    <col min="7" max="7" width="11" customWidth="1"/>
  </cols>
  <sheetData>
    <row r="1" spans="1:7" ht="13.5" customHeight="1" x14ac:dyDescent="0.25">
      <c r="A1" s="104"/>
      <c r="B1" s="104"/>
      <c r="C1" s="135"/>
      <c r="D1" s="135"/>
      <c r="E1" s="104"/>
      <c r="F1" s="104"/>
      <c r="G1" s="106" t="s">
        <v>162</v>
      </c>
    </row>
    <row r="2" spans="1:7" ht="13.5" customHeight="1" x14ac:dyDescent="0.25">
      <c r="A2" s="104"/>
      <c r="B2" s="104"/>
      <c r="C2" s="135"/>
      <c r="D2" s="135"/>
      <c r="E2" s="104"/>
      <c r="F2" s="104"/>
      <c r="G2" s="106" t="s">
        <v>60</v>
      </c>
    </row>
    <row r="3" spans="1:7" ht="13.5" customHeight="1" x14ac:dyDescent="0.25">
      <c r="A3" s="104"/>
      <c r="B3" s="104"/>
      <c r="C3" s="135"/>
      <c r="D3" s="135"/>
      <c r="E3" s="104"/>
      <c r="F3" s="104"/>
      <c r="G3" s="106" t="s">
        <v>377</v>
      </c>
    </row>
    <row r="4" spans="1:7" ht="13.5" customHeight="1" x14ac:dyDescent="0.25">
      <c r="A4" s="104"/>
      <c r="B4" s="104"/>
      <c r="C4" s="135"/>
      <c r="D4" s="135"/>
      <c r="E4" s="104"/>
      <c r="F4" s="104"/>
      <c r="G4" s="106" t="s">
        <v>379</v>
      </c>
    </row>
    <row r="5" spans="1:7" ht="13.5" customHeight="1" x14ac:dyDescent="0.25">
      <c r="A5" s="104"/>
      <c r="B5" s="104"/>
      <c r="C5" s="135"/>
      <c r="D5" s="135"/>
      <c r="E5" s="104"/>
      <c r="F5" s="108"/>
      <c r="G5" s="104"/>
    </row>
    <row r="6" spans="1:7" ht="13.5" customHeight="1" x14ac:dyDescent="0.25">
      <c r="A6" s="396" t="s">
        <v>93</v>
      </c>
      <c r="B6" s="396"/>
      <c r="C6" s="396"/>
      <c r="D6" s="396"/>
      <c r="E6" s="396"/>
      <c r="F6" s="396"/>
      <c r="G6" s="396"/>
    </row>
    <row r="7" spans="1:7" ht="13.5" customHeight="1" x14ac:dyDescent="0.25">
      <c r="A7" s="396" t="s">
        <v>223</v>
      </c>
      <c r="B7" s="396"/>
      <c r="C7" s="396"/>
      <c r="D7" s="396"/>
      <c r="E7" s="396"/>
      <c r="F7" s="396"/>
      <c r="G7" s="396"/>
    </row>
    <row r="8" spans="1:7" ht="13.5" customHeight="1" x14ac:dyDescent="0.25">
      <c r="A8" s="353" t="s">
        <v>13</v>
      </c>
      <c r="B8" s="390" t="s">
        <v>95</v>
      </c>
      <c r="C8" s="391"/>
      <c r="D8" s="391"/>
      <c r="E8" s="392"/>
      <c r="F8" s="357" t="s">
        <v>96</v>
      </c>
      <c r="G8" s="357"/>
    </row>
    <row r="9" spans="1:7" ht="13.5" customHeight="1" x14ac:dyDescent="0.25">
      <c r="A9" s="354"/>
      <c r="B9" s="393"/>
      <c r="C9" s="394"/>
      <c r="D9" s="394"/>
      <c r="E9" s="395"/>
      <c r="F9" s="65" t="s">
        <v>97</v>
      </c>
      <c r="G9" s="88" t="s">
        <v>62</v>
      </c>
    </row>
    <row r="10" spans="1:7" ht="13.5" customHeight="1" x14ac:dyDescent="0.25">
      <c r="A10" s="109"/>
      <c r="B10" s="386" t="s">
        <v>126</v>
      </c>
      <c r="C10" s="387"/>
      <c r="D10" s="388"/>
      <c r="E10" s="109"/>
      <c r="F10" s="112">
        <v>74.34</v>
      </c>
      <c r="G10" s="113" t="s">
        <v>98</v>
      </c>
    </row>
    <row r="11" spans="1:7" ht="3" customHeight="1" x14ac:dyDescent="0.25">
      <c r="A11" s="109"/>
      <c r="B11" s="109"/>
      <c r="C11" s="113"/>
      <c r="D11" s="113"/>
      <c r="E11" s="109"/>
      <c r="F11" s="112"/>
      <c r="G11" s="113"/>
    </row>
    <row r="12" spans="1:7" ht="13.5" customHeight="1" x14ac:dyDescent="0.25">
      <c r="A12" s="109"/>
      <c r="B12" s="109" t="s">
        <v>99</v>
      </c>
      <c r="C12" s="113"/>
      <c r="D12" s="113"/>
      <c r="E12" s="138">
        <v>0.25</v>
      </c>
      <c r="F12" s="112">
        <f>F10*E12</f>
        <v>18.585000000000001</v>
      </c>
      <c r="G12" s="113" t="s">
        <v>98</v>
      </c>
    </row>
    <row r="13" spans="1:7" ht="3" customHeight="1" x14ac:dyDescent="0.25">
      <c r="A13" s="109"/>
      <c r="B13" s="109"/>
      <c r="C13" s="113"/>
      <c r="D13" s="113"/>
      <c r="E13" s="109"/>
      <c r="F13" s="112"/>
      <c r="G13" s="113"/>
    </row>
    <row r="14" spans="1:7" ht="13.5" customHeight="1" x14ac:dyDescent="0.25">
      <c r="A14" s="109"/>
      <c r="B14" s="109" t="s">
        <v>100</v>
      </c>
      <c r="C14" s="113"/>
      <c r="D14" s="113"/>
      <c r="E14" s="138">
        <v>0.1</v>
      </c>
      <c r="F14" s="112">
        <f>F10*E14</f>
        <v>7.4340000000000011</v>
      </c>
      <c r="G14" s="113" t="str">
        <f>G12</f>
        <v>руб.</v>
      </c>
    </row>
    <row r="15" spans="1:7" ht="3" customHeight="1" x14ac:dyDescent="0.25">
      <c r="A15" s="109"/>
      <c r="B15" s="109"/>
      <c r="C15" s="113"/>
      <c r="D15" s="113"/>
      <c r="E15" s="109"/>
      <c r="F15" s="112"/>
      <c r="G15" s="113"/>
    </row>
    <row r="16" spans="1:7" ht="13.5" customHeight="1" x14ac:dyDescent="0.25">
      <c r="A16" s="109"/>
      <c r="B16" s="109" t="s">
        <v>209</v>
      </c>
      <c r="C16" s="113"/>
      <c r="D16" s="113"/>
      <c r="E16" s="138">
        <v>0.04</v>
      </c>
      <c r="F16" s="112">
        <f>F10*E16</f>
        <v>2.9736000000000002</v>
      </c>
      <c r="G16" s="113" t="s">
        <v>98</v>
      </c>
    </row>
    <row r="17" spans="1:7" ht="3" customHeight="1" x14ac:dyDescent="0.25">
      <c r="A17" s="109"/>
      <c r="B17" s="109"/>
      <c r="C17" s="113"/>
      <c r="D17" s="113"/>
      <c r="E17" s="138"/>
      <c r="F17" s="112"/>
      <c r="G17" s="113"/>
    </row>
    <row r="18" spans="1:7" ht="13.5" customHeight="1" x14ac:dyDescent="0.25">
      <c r="A18" s="109"/>
      <c r="B18" s="109" t="s">
        <v>101</v>
      </c>
      <c r="C18" s="113"/>
      <c r="D18" s="113"/>
      <c r="E18" s="138">
        <v>0.4</v>
      </c>
      <c r="F18" s="112">
        <f>F10*E18</f>
        <v>29.736000000000004</v>
      </c>
      <c r="G18" s="113" t="s">
        <v>98</v>
      </c>
    </row>
    <row r="19" spans="1:7" ht="3" customHeight="1" x14ac:dyDescent="0.25">
      <c r="A19" s="109"/>
      <c r="B19" s="109"/>
      <c r="C19" s="113"/>
      <c r="D19" s="113"/>
      <c r="E19" s="138"/>
      <c r="F19" s="112"/>
      <c r="G19" s="113"/>
    </row>
    <row r="20" spans="1:7" ht="13.5" customHeight="1" x14ac:dyDescent="0.25">
      <c r="A20" s="109"/>
      <c r="B20" s="386" t="s">
        <v>369</v>
      </c>
      <c r="C20" s="387"/>
      <c r="D20" s="388"/>
      <c r="E20" s="109"/>
      <c r="F20" s="112">
        <v>64.8</v>
      </c>
      <c r="G20" s="113" t="s">
        <v>98</v>
      </c>
    </row>
    <row r="21" spans="1:7" ht="3" customHeight="1" x14ac:dyDescent="0.25">
      <c r="A21" s="109"/>
      <c r="B21" s="109"/>
      <c r="C21" s="113"/>
      <c r="D21" s="113"/>
      <c r="E21" s="138"/>
      <c r="F21" s="112"/>
      <c r="G21" s="113"/>
    </row>
    <row r="22" spans="1:7" ht="13.5" customHeight="1" x14ac:dyDescent="0.25">
      <c r="A22" s="109"/>
      <c r="B22" s="386" t="s">
        <v>370</v>
      </c>
      <c r="C22" s="387"/>
      <c r="D22" s="388"/>
      <c r="E22" s="109"/>
      <c r="F22" s="112">
        <v>56.12</v>
      </c>
      <c r="G22" s="113" t="s">
        <v>98</v>
      </c>
    </row>
    <row r="23" spans="1:7" ht="3" customHeight="1" x14ac:dyDescent="0.25">
      <c r="A23" s="109"/>
      <c r="B23" s="109"/>
      <c r="C23" s="113"/>
      <c r="D23" s="113"/>
      <c r="E23" s="138"/>
      <c r="F23" s="112"/>
      <c r="G23" s="113"/>
    </row>
    <row r="24" spans="1:7" ht="13.5" customHeight="1" x14ac:dyDescent="0.25">
      <c r="A24" s="109"/>
      <c r="B24" s="109" t="s">
        <v>100</v>
      </c>
      <c r="C24" s="113"/>
      <c r="D24" s="113"/>
      <c r="E24" s="138">
        <v>0.21</v>
      </c>
      <c r="F24" s="112">
        <f>(F22+F20)*E24</f>
        <v>25.393199999999997</v>
      </c>
      <c r="G24" s="113" t="str">
        <f>G22</f>
        <v>руб.</v>
      </c>
    </row>
    <row r="25" spans="1:7" ht="3" customHeight="1" x14ac:dyDescent="0.25">
      <c r="A25" s="109"/>
      <c r="B25" s="109"/>
      <c r="C25" s="113"/>
      <c r="D25" s="113"/>
      <c r="E25" s="138"/>
      <c r="F25" s="112"/>
      <c r="G25" s="113"/>
    </row>
    <row r="26" spans="1:7" ht="13.5" customHeight="1" x14ac:dyDescent="0.25">
      <c r="A26" s="109"/>
      <c r="B26" s="109" t="s">
        <v>209</v>
      </c>
      <c r="C26" s="113"/>
      <c r="D26" s="113"/>
      <c r="E26" s="138">
        <v>0.04</v>
      </c>
      <c r="F26" s="112">
        <f>(F22+F20)*E26</f>
        <v>4.8367999999999993</v>
      </c>
      <c r="G26" s="113" t="s">
        <v>98</v>
      </c>
    </row>
    <row r="27" spans="1:7" ht="3" customHeight="1" x14ac:dyDescent="0.25">
      <c r="A27" s="109"/>
      <c r="B27" s="109"/>
      <c r="C27" s="113"/>
      <c r="D27" s="113"/>
      <c r="E27" s="138"/>
      <c r="F27" s="112"/>
      <c r="G27" s="113"/>
    </row>
    <row r="28" spans="1:7" ht="13.5" customHeight="1" x14ac:dyDescent="0.25">
      <c r="A28" s="109"/>
      <c r="B28" s="109" t="s">
        <v>101</v>
      </c>
      <c r="C28" s="113"/>
      <c r="D28" s="113"/>
      <c r="E28" s="138">
        <v>0.4</v>
      </c>
      <c r="F28" s="112">
        <f>(F20+F22)*E28</f>
        <v>48.367999999999995</v>
      </c>
      <c r="G28" s="113" t="s">
        <v>98</v>
      </c>
    </row>
    <row r="29" spans="1:7" ht="3" customHeight="1" x14ac:dyDescent="0.25">
      <c r="A29" s="109"/>
      <c r="B29" s="109"/>
      <c r="C29" s="113"/>
      <c r="D29" s="113"/>
      <c r="E29" s="138"/>
      <c r="F29" s="112"/>
      <c r="G29" s="113"/>
    </row>
    <row r="30" spans="1:7" ht="13.5" customHeight="1" x14ac:dyDescent="0.25">
      <c r="A30" s="109"/>
      <c r="B30" s="109" t="s">
        <v>102</v>
      </c>
      <c r="C30" s="113"/>
      <c r="D30" s="113"/>
      <c r="E30" s="109"/>
      <c r="F30" s="112">
        <v>60</v>
      </c>
      <c r="G30" s="113" t="s">
        <v>103</v>
      </c>
    </row>
    <row r="31" spans="1:7" ht="3" customHeight="1" x14ac:dyDescent="0.25">
      <c r="A31" s="109"/>
      <c r="B31" s="109"/>
      <c r="C31" s="113"/>
      <c r="D31" s="113"/>
      <c r="E31" s="109"/>
      <c r="F31" s="112"/>
      <c r="G31" s="109"/>
    </row>
    <row r="32" spans="1:7" ht="13.5" customHeight="1" x14ac:dyDescent="0.25">
      <c r="A32" s="117">
        <v>1</v>
      </c>
      <c r="B32" s="118" t="s">
        <v>104</v>
      </c>
      <c r="C32" s="117"/>
      <c r="D32" s="117"/>
      <c r="E32" s="118"/>
      <c r="F32" s="121">
        <f>F28+F26+F24+F22+F20+F18+F16+F14+F12+F10</f>
        <v>332.58659999999998</v>
      </c>
      <c r="G32" s="117" t="s">
        <v>98</v>
      </c>
    </row>
    <row r="33" spans="1:7" ht="13.5" customHeight="1" x14ac:dyDescent="0.25">
      <c r="A33" s="117"/>
      <c r="B33" s="118"/>
      <c r="C33" s="117"/>
      <c r="D33" s="113"/>
      <c r="E33" s="109"/>
      <c r="F33" s="112"/>
      <c r="G33" s="113"/>
    </row>
    <row r="34" spans="1:7" ht="13.5" customHeight="1" x14ac:dyDescent="0.25">
      <c r="A34" s="117">
        <v>2</v>
      </c>
      <c r="B34" s="118" t="s">
        <v>105</v>
      </c>
      <c r="C34" s="117"/>
      <c r="D34" s="117"/>
      <c r="E34" s="139">
        <v>0.30199999999999999</v>
      </c>
      <c r="F34" s="121">
        <f>E34*F32</f>
        <v>100.44115319999999</v>
      </c>
      <c r="G34" s="117" t="s">
        <v>98</v>
      </c>
    </row>
    <row r="35" spans="1:7" ht="13.5" customHeight="1" x14ac:dyDescent="0.25">
      <c r="A35" s="117"/>
      <c r="B35" s="118"/>
      <c r="C35" s="117"/>
      <c r="D35" s="113"/>
      <c r="E35" s="138"/>
      <c r="F35" s="112"/>
      <c r="G35" s="113"/>
    </row>
    <row r="36" spans="1:7" ht="13.5" customHeight="1" x14ac:dyDescent="0.25">
      <c r="A36" s="117">
        <v>3</v>
      </c>
      <c r="B36" s="118" t="s">
        <v>106</v>
      </c>
      <c r="C36" s="117"/>
      <c r="D36" s="117"/>
      <c r="E36" s="139"/>
      <c r="F36" s="121">
        <f>'Пробег КО-502Б-2'!E25</f>
        <v>124.40390864582884</v>
      </c>
      <c r="G36" s="117" t="s">
        <v>98</v>
      </c>
    </row>
    <row r="37" spans="1:7" ht="13.5" customHeight="1" x14ac:dyDescent="0.25">
      <c r="A37" s="117"/>
      <c r="B37" s="118"/>
      <c r="C37" s="117"/>
      <c r="D37" s="113"/>
      <c r="E37" s="138"/>
      <c r="F37" s="112"/>
      <c r="G37" s="113"/>
    </row>
    <row r="38" spans="1:7" ht="13.5" customHeight="1" x14ac:dyDescent="0.25">
      <c r="A38" s="117">
        <v>4</v>
      </c>
      <c r="B38" s="118" t="s">
        <v>108</v>
      </c>
      <c r="C38" s="117"/>
      <c r="D38" s="117"/>
      <c r="E38" s="139"/>
      <c r="F38" s="121">
        <f>'Пробег КО-502Б-2'!F25+200</f>
        <v>429.09378544445212</v>
      </c>
      <c r="G38" s="117" t="s">
        <v>98</v>
      </c>
    </row>
    <row r="39" spans="1:7" ht="13.5" customHeight="1" x14ac:dyDescent="0.25">
      <c r="A39" s="117"/>
      <c r="B39" s="118"/>
      <c r="C39" s="117"/>
      <c r="D39" s="113"/>
      <c r="E39" s="138"/>
      <c r="F39" s="112"/>
      <c r="G39" s="113"/>
    </row>
    <row r="40" spans="1:7" ht="13.5" customHeight="1" x14ac:dyDescent="0.25">
      <c r="A40" s="117">
        <v>5</v>
      </c>
      <c r="B40" s="118" t="s">
        <v>156</v>
      </c>
      <c r="C40" s="117"/>
      <c r="D40" s="113"/>
      <c r="E40" s="123"/>
      <c r="F40" s="108"/>
      <c r="G40" s="104"/>
    </row>
    <row r="41" spans="1:7" ht="13.5" customHeight="1" x14ac:dyDescent="0.25">
      <c r="A41" s="117"/>
      <c r="B41" s="118"/>
      <c r="C41" s="386" t="s">
        <v>226</v>
      </c>
      <c r="D41" s="388"/>
      <c r="E41" s="199"/>
      <c r="F41" s="112">
        <f>0.371*60</f>
        <v>22.259999999999998</v>
      </c>
      <c r="G41" s="113" t="s">
        <v>111</v>
      </c>
    </row>
    <row r="42" spans="1:7" ht="13.5" customHeight="1" x14ac:dyDescent="0.25">
      <c r="A42" s="117"/>
      <c r="B42" s="118"/>
      <c r="C42" s="386" t="s">
        <v>225</v>
      </c>
      <c r="D42" s="388"/>
      <c r="E42" s="206"/>
      <c r="F42" s="112">
        <f>11.3*2</f>
        <v>22.6</v>
      </c>
      <c r="G42" s="113" t="s">
        <v>111</v>
      </c>
    </row>
    <row r="43" spans="1:7" ht="13.5" customHeight="1" x14ac:dyDescent="0.25">
      <c r="A43" s="117"/>
      <c r="B43" s="118"/>
      <c r="C43" s="407">
        <f>F41+F42</f>
        <v>44.86</v>
      </c>
      <c r="D43" s="408"/>
      <c r="E43" s="206">
        <v>34.53</v>
      </c>
      <c r="F43" s="126">
        <f>C43*E43</f>
        <v>1549.0158000000001</v>
      </c>
      <c r="G43" s="113" t="s">
        <v>98</v>
      </c>
    </row>
    <row r="44" spans="1:7" ht="13.5" customHeight="1" x14ac:dyDescent="0.25">
      <c r="A44" s="117"/>
      <c r="B44" s="118"/>
      <c r="C44" s="117"/>
      <c r="D44" s="113"/>
      <c r="E44" s="138"/>
      <c r="F44" s="112"/>
      <c r="G44" s="113"/>
    </row>
    <row r="45" spans="1:7" ht="13.5" customHeight="1" x14ac:dyDescent="0.25">
      <c r="A45" s="117">
        <v>6</v>
      </c>
      <c r="B45" s="118" t="s">
        <v>112</v>
      </c>
      <c r="C45" s="117"/>
      <c r="D45" s="113"/>
      <c r="E45" s="109"/>
      <c r="F45" s="112"/>
      <c r="G45" s="113"/>
    </row>
    <row r="46" spans="1:7" ht="13.5" customHeight="1" x14ac:dyDescent="0.25">
      <c r="A46" s="117"/>
      <c r="B46" s="109" t="s">
        <v>113</v>
      </c>
      <c r="C46" s="142">
        <v>2.4E-2</v>
      </c>
      <c r="D46" s="207" t="s">
        <v>114</v>
      </c>
      <c r="E46" s="185">
        <v>186.99</v>
      </c>
      <c r="F46" s="112">
        <f>C46*$C$43*E46</f>
        <v>201.32091360000001</v>
      </c>
      <c r="G46" s="113" t="s">
        <v>98</v>
      </c>
    </row>
    <row r="47" spans="1:7" ht="13.5" customHeight="1" x14ac:dyDescent="0.25">
      <c r="A47" s="117"/>
      <c r="B47" s="109" t="s">
        <v>115</v>
      </c>
      <c r="C47" s="142">
        <v>3.0000000000000001E-3</v>
      </c>
      <c r="D47" s="208" t="s">
        <v>116</v>
      </c>
      <c r="E47" s="185">
        <v>107.82</v>
      </c>
      <c r="F47" s="112">
        <f>C47*$C$43*E47</f>
        <v>14.5104156</v>
      </c>
      <c r="G47" s="113" t="s">
        <v>98</v>
      </c>
    </row>
    <row r="48" spans="1:7" ht="13.5" customHeight="1" x14ac:dyDescent="0.25">
      <c r="A48" s="117"/>
      <c r="B48" s="109" t="s">
        <v>117</v>
      </c>
      <c r="C48" s="142">
        <v>1E-3</v>
      </c>
      <c r="D48" s="208" t="s">
        <v>116</v>
      </c>
      <c r="E48" s="185">
        <v>75.260000000000005</v>
      </c>
      <c r="F48" s="112">
        <f>C48*$C$43*E48</f>
        <v>3.3761635999999999</v>
      </c>
      <c r="G48" s="113" t="s">
        <v>98</v>
      </c>
    </row>
    <row r="49" spans="1:7" ht="13.5" customHeight="1" x14ac:dyDescent="0.25">
      <c r="A49" s="117"/>
      <c r="B49" s="109" t="s">
        <v>118</v>
      </c>
      <c r="C49" s="142">
        <v>2E-3</v>
      </c>
      <c r="D49" s="208" t="s">
        <v>116</v>
      </c>
      <c r="E49" s="185">
        <v>132.04</v>
      </c>
      <c r="F49" s="112">
        <f>C49*$C$43*E49</f>
        <v>11.846628799999998</v>
      </c>
      <c r="G49" s="113" t="s">
        <v>98</v>
      </c>
    </row>
    <row r="50" spans="1:7" ht="13.5" customHeight="1" x14ac:dyDescent="0.25">
      <c r="A50" s="117"/>
      <c r="B50" s="109" t="s">
        <v>119</v>
      </c>
      <c r="C50" s="181"/>
      <c r="D50" s="180"/>
      <c r="E50" s="209"/>
      <c r="F50" s="121">
        <f>SUM(F46:F49)</f>
        <v>231.0541216</v>
      </c>
      <c r="G50" s="117" t="s">
        <v>98</v>
      </c>
    </row>
    <row r="51" spans="1:7" ht="13.5" customHeight="1" x14ac:dyDescent="0.25">
      <c r="A51" s="117"/>
      <c r="B51" s="109"/>
      <c r="C51" s="113"/>
      <c r="D51" s="113"/>
      <c r="E51" s="138"/>
      <c r="F51" s="112"/>
      <c r="G51" s="113"/>
    </row>
    <row r="52" spans="1:7" ht="13.5" customHeight="1" x14ac:dyDescent="0.25">
      <c r="A52" s="117">
        <v>7</v>
      </c>
      <c r="B52" s="118" t="s">
        <v>120</v>
      </c>
      <c r="C52" s="117"/>
      <c r="D52" s="117"/>
      <c r="E52" s="122">
        <v>0.6</v>
      </c>
      <c r="F52" s="121">
        <f>F32*E52</f>
        <v>199.55195999999998</v>
      </c>
      <c r="G52" s="117" t="s">
        <v>98</v>
      </c>
    </row>
    <row r="53" spans="1:7" ht="13.5" customHeight="1" x14ac:dyDescent="0.25">
      <c r="A53" s="113"/>
      <c r="B53" s="109"/>
      <c r="C53" s="113"/>
      <c r="D53" s="113"/>
      <c r="E53" s="138"/>
      <c r="F53" s="112"/>
      <c r="G53" s="113"/>
    </row>
    <row r="54" spans="1:7" ht="13.5" customHeight="1" x14ac:dyDescent="0.25">
      <c r="A54" s="117">
        <v>8</v>
      </c>
      <c r="B54" s="118" t="s">
        <v>121</v>
      </c>
      <c r="C54" s="117"/>
      <c r="D54" s="117"/>
      <c r="E54" s="139"/>
      <c r="F54" s="121">
        <f>F32+F34+F36+F38+F43+F50+F52</f>
        <v>2966.1473288902807</v>
      </c>
      <c r="G54" s="117" t="s">
        <v>98</v>
      </c>
    </row>
    <row r="55" spans="1:7" ht="13.5" customHeight="1" x14ac:dyDescent="0.25">
      <c r="A55" s="117"/>
      <c r="B55" s="118"/>
      <c r="C55" s="117"/>
      <c r="D55" s="117"/>
      <c r="E55" s="139"/>
      <c r="F55" s="121"/>
      <c r="G55" s="117"/>
    </row>
    <row r="56" spans="1:7" ht="13.5" customHeight="1" x14ac:dyDescent="0.25">
      <c r="A56" s="117">
        <v>9</v>
      </c>
      <c r="B56" s="118" t="s">
        <v>122</v>
      </c>
      <c r="C56" s="117"/>
      <c r="D56" s="117"/>
      <c r="E56" s="139"/>
      <c r="F56" s="121"/>
      <c r="G56" s="117"/>
    </row>
    <row r="57" spans="1:7" ht="13.5" customHeight="1" x14ac:dyDescent="0.25">
      <c r="A57" s="113"/>
      <c r="B57" s="109" t="s">
        <v>123</v>
      </c>
      <c r="C57" s="113"/>
      <c r="D57" s="113"/>
      <c r="E57" s="138">
        <v>0.1</v>
      </c>
      <c r="F57" s="112">
        <f>F54*E57</f>
        <v>296.61473288902806</v>
      </c>
      <c r="G57" s="113" t="s">
        <v>98</v>
      </c>
    </row>
    <row r="58" spans="1:7" ht="13.5" customHeight="1" x14ac:dyDescent="0.25">
      <c r="A58" s="113"/>
      <c r="B58" s="109" t="s">
        <v>124</v>
      </c>
      <c r="C58" s="113"/>
      <c r="D58" s="113"/>
      <c r="E58" s="138">
        <v>0.15</v>
      </c>
      <c r="F58" s="112">
        <f>F54*E58</f>
        <v>444.92209933354212</v>
      </c>
      <c r="G58" s="113" t="s">
        <v>98</v>
      </c>
    </row>
    <row r="59" spans="1:7" ht="3" customHeight="1" x14ac:dyDescent="0.25">
      <c r="A59" s="113"/>
      <c r="B59" s="109"/>
      <c r="C59" s="113"/>
      <c r="D59" s="113"/>
      <c r="E59" s="138"/>
      <c r="F59" s="112"/>
      <c r="G59" s="113"/>
    </row>
    <row r="60" spans="1:7" ht="13.5" customHeight="1" x14ac:dyDescent="0.25">
      <c r="A60" s="117">
        <v>10</v>
      </c>
      <c r="B60" s="118" t="s">
        <v>125</v>
      </c>
      <c r="C60" s="117"/>
      <c r="D60" s="117"/>
      <c r="E60" s="139"/>
      <c r="F60" s="121"/>
      <c r="G60" s="117"/>
    </row>
    <row r="61" spans="1:7" ht="13.5" customHeight="1" x14ac:dyDescent="0.25">
      <c r="A61" s="113"/>
      <c r="B61" s="109" t="s">
        <v>123</v>
      </c>
      <c r="C61" s="113"/>
      <c r="D61" s="113"/>
      <c r="E61" s="138"/>
      <c r="F61" s="121">
        <f>F54+F57</f>
        <v>3262.7620617793086</v>
      </c>
      <c r="G61" s="117" t="s">
        <v>98</v>
      </c>
    </row>
    <row r="62" spans="1:7" ht="13.5" customHeight="1" x14ac:dyDescent="0.25">
      <c r="A62" s="113"/>
      <c r="B62" s="109" t="s">
        <v>124</v>
      </c>
      <c r="C62" s="113"/>
      <c r="D62" s="113"/>
      <c r="E62" s="138"/>
      <c r="F62" s="121">
        <f>F54+F58</f>
        <v>3411.0694282238228</v>
      </c>
      <c r="G62" s="117" t="s">
        <v>98</v>
      </c>
    </row>
    <row r="63" spans="1:7" ht="13.5" customHeight="1" x14ac:dyDescent="0.25">
      <c r="A63" s="104"/>
      <c r="B63" s="104"/>
      <c r="C63" s="135"/>
      <c r="D63" s="135"/>
      <c r="E63" s="104"/>
      <c r="F63" s="108"/>
      <c r="G63" s="104"/>
    </row>
    <row r="64" spans="1:7" ht="13.5" customHeight="1" x14ac:dyDescent="0.25">
      <c r="A64" s="104"/>
      <c r="B64" s="104"/>
      <c r="C64" s="135"/>
      <c r="D64" s="135"/>
      <c r="E64" s="104"/>
      <c r="F64" s="108"/>
      <c r="G64" s="104"/>
    </row>
    <row r="65" spans="1:7" ht="13.5" customHeight="1" x14ac:dyDescent="0.25">
      <c r="A65" s="31"/>
      <c r="B65" s="83" t="s">
        <v>55</v>
      </c>
      <c r="C65" s="83"/>
      <c r="D65" s="83"/>
      <c r="E65" s="31"/>
      <c r="F65" s="62" t="s">
        <v>57</v>
      </c>
      <c r="G65" s="31"/>
    </row>
  </sheetData>
  <mergeCells count="11">
    <mergeCell ref="B20:D20"/>
    <mergeCell ref="B22:D22"/>
    <mergeCell ref="C41:D41"/>
    <mergeCell ref="C42:D42"/>
    <mergeCell ref="C43:D43"/>
    <mergeCell ref="B10:D10"/>
    <mergeCell ref="A6:G6"/>
    <mergeCell ref="A7:G7"/>
    <mergeCell ref="A8:A9"/>
    <mergeCell ref="B8:E9"/>
    <mergeCell ref="F8:G8"/>
  </mergeCells>
  <pageMargins left="0.25" right="0.25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3"/>
  <sheetViews>
    <sheetView workbookViewId="0">
      <selection activeCell="J17" sqref="J17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20" t="s">
        <v>227</v>
      </c>
      <c r="B1" s="320"/>
      <c r="C1" s="320"/>
      <c r="D1" s="320"/>
      <c r="E1" s="320"/>
      <c r="F1" s="320"/>
      <c r="G1" s="320"/>
    </row>
    <row r="2" spans="1:7" x14ac:dyDescent="0.25">
      <c r="A2" s="319" t="s">
        <v>130</v>
      </c>
      <c r="B2" s="319"/>
      <c r="C2" s="319"/>
      <c r="D2" s="319"/>
      <c r="E2" s="319"/>
      <c r="F2" s="319"/>
      <c r="G2" s="3"/>
    </row>
    <row r="3" spans="1:7" x14ac:dyDescent="0.25">
      <c r="A3" s="87"/>
      <c r="B3" s="5">
        <f>'План. расчет времени'!F30</f>
        <v>928.40801097454232</v>
      </c>
      <c r="C3" s="3" t="s">
        <v>131</v>
      </c>
      <c r="D3" s="3"/>
      <c r="E3" s="3"/>
      <c r="F3" s="3"/>
      <c r="G3" s="3"/>
    </row>
    <row r="4" spans="1:7" x14ac:dyDescent="0.25">
      <c r="A4" s="319" t="s">
        <v>132</v>
      </c>
      <c r="B4" s="319"/>
      <c r="C4" s="319"/>
      <c r="D4" s="319"/>
      <c r="E4" s="319"/>
      <c r="F4" s="319"/>
      <c r="G4" s="86"/>
    </row>
    <row r="5" spans="1:7" x14ac:dyDescent="0.25">
      <c r="A5" s="3"/>
      <c r="B5" s="3">
        <v>40</v>
      </c>
      <c r="C5" s="3" t="s">
        <v>131</v>
      </c>
      <c r="D5" s="3"/>
      <c r="E5" s="3"/>
      <c r="F5" s="3"/>
      <c r="G5" s="86"/>
    </row>
    <row r="6" spans="1:7" x14ac:dyDescent="0.25">
      <c r="A6" s="319" t="s">
        <v>168</v>
      </c>
      <c r="B6" s="319"/>
      <c r="C6" s="319"/>
      <c r="D6" s="319"/>
      <c r="E6" s="319"/>
      <c r="F6" s="319"/>
      <c r="G6" s="319"/>
    </row>
    <row r="7" spans="1:7" x14ac:dyDescent="0.25">
      <c r="A7" s="3"/>
      <c r="B7" s="3">
        <v>120</v>
      </c>
      <c r="C7" s="3" t="s">
        <v>131</v>
      </c>
      <c r="D7" s="87"/>
      <c r="E7" s="87"/>
      <c r="F7" s="3"/>
      <c r="G7" s="3"/>
    </row>
    <row r="8" spans="1:7" x14ac:dyDescent="0.25">
      <c r="A8" s="86"/>
      <c r="B8" s="86"/>
      <c r="C8" s="86"/>
      <c r="D8" s="3"/>
      <c r="E8" s="3"/>
      <c r="F8" s="3"/>
      <c r="G8" s="3"/>
    </row>
    <row r="9" spans="1:7" x14ac:dyDescent="0.25">
      <c r="A9" s="406" t="s">
        <v>136</v>
      </c>
      <c r="B9" s="406"/>
      <c r="C9" s="406"/>
      <c r="D9" s="149">
        <f>B3-B5-B7</f>
        <v>768.40801097454232</v>
      </c>
      <c r="E9" s="150" t="s">
        <v>131</v>
      </c>
      <c r="F9" s="150"/>
      <c r="G9" s="9"/>
    </row>
    <row r="10" spans="1:7" x14ac:dyDescent="0.25">
      <c r="A10" s="86"/>
      <c r="B10" s="86"/>
      <c r="C10" s="86"/>
      <c r="D10" s="86"/>
      <c r="E10" s="86"/>
      <c r="F10" s="86"/>
      <c r="G10" s="86"/>
    </row>
    <row r="11" spans="1:7" x14ac:dyDescent="0.25">
      <c r="A11" s="319" t="s">
        <v>169</v>
      </c>
      <c r="B11" s="319"/>
      <c r="C11" s="3">
        <v>95592.960000000006</v>
      </c>
      <c r="D11" s="3" t="s">
        <v>98</v>
      </c>
      <c r="E11" s="3"/>
      <c r="F11" s="86"/>
      <c r="G11" s="86"/>
    </row>
    <row r="12" spans="1:7" x14ac:dyDescent="0.25">
      <c r="A12" s="86"/>
      <c r="B12" s="86"/>
      <c r="C12" s="86"/>
      <c r="D12" s="86"/>
      <c r="E12" s="86"/>
      <c r="F12" s="86"/>
      <c r="G12" s="86"/>
    </row>
    <row r="13" spans="1:7" x14ac:dyDescent="0.25">
      <c r="A13" s="319" t="s">
        <v>170</v>
      </c>
      <c r="B13" s="319"/>
      <c r="C13" s="319"/>
      <c r="D13" s="319"/>
      <c r="E13" s="319"/>
      <c r="F13" s="298">
        <f>'[1]КО-502Б-2'!$F$30</f>
        <v>176037.5</v>
      </c>
      <c r="G13" s="3" t="s">
        <v>98</v>
      </c>
    </row>
    <row r="14" spans="1:7" x14ac:dyDescent="0.25">
      <c r="A14" s="86"/>
      <c r="B14" s="86"/>
      <c r="C14" s="3"/>
      <c r="D14" s="3"/>
      <c r="E14" s="3"/>
      <c r="F14" s="87"/>
      <c r="G14" s="87"/>
    </row>
    <row r="15" spans="1:7" ht="15.75" thickBot="1" x14ac:dyDescent="0.3">
      <c r="A15" s="378" t="s">
        <v>138</v>
      </c>
      <c r="B15" s="376" t="s">
        <v>139</v>
      </c>
      <c r="C15" s="376"/>
      <c r="D15" s="376"/>
      <c r="E15" s="3"/>
      <c r="F15" s="87"/>
      <c r="G15" s="87"/>
    </row>
    <row r="16" spans="1:7" x14ac:dyDescent="0.25">
      <c r="A16" s="378"/>
      <c r="B16" s="377" t="s">
        <v>140</v>
      </c>
      <c r="C16" s="377"/>
      <c r="D16" s="377"/>
      <c r="E16" s="3"/>
      <c r="F16" s="87"/>
      <c r="G16" s="87"/>
    </row>
    <row r="17" spans="1:7" x14ac:dyDescent="0.25">
      <c r="A17" s="90"/>
      <c r="B17" s="91"/>
      <c r="C17" s="91"/>
      <c r="D17" s="91"/>
      <c r="E17" s="3"/>
      <c r="F17" s="87"/>
      <c r="G17" s="87"/>
    </row>
    <row r="18" spans="1:7" ht="15.75" thickBot="1" x14ac:dyDescent="0.3">
      <c r="A18" s="375" t="s">
        <v>141</v>
      </c>
      <c r="B18" s="375"/>
      <c r="C18" s="376" t="s">
        <v>142</v>
      </c>
      <c r="D18" s="376"/>
      <c r="E18" s="376"/>
      <c r="F18" s="87"/>
      <c r="G18" s="87"/>
    </row>
    <row r="19" spans="1:7" x14ac:dyDescent="0.25">
      <c r="A19" s="375"/>
      <c r="B19" s="375"/>
      <c r="C19" s="377" t="s">
        <v>140</v>
      </c>
      <c r="D19" s="377"/>
      <c r="E19" s="377"/>
      <c r="F19" s="87"/>
      <c r="G19" s="87"/>
    </row>
    <row r="20" spans="1:7" x14ac:dyDescent="0.25">
      <c r="A20" s="9"/>
      <c r="B20" s="9"/>
      <c r="C20" s="92"/>
      <c r="D20" s="92"/>
      <c r="E20" s="92"/>
      <c r="F20" s="87"/>
      <c r="G20" s="87"/>
    </row>
    <row r="21" spans="1:7" x14ac:dyDescent="0.25">
      <c r="A21" s="9"/>
      <c r="B21" s="9"/>
      <c r="C21" s="92"/>
      <c r="D21" s="92"/>
      <c r="E21" s="323" t="s">
        <v>12</v>
      </c>
      <c r="F21" s="323"/>
      <c r="G21" s="87"/>
    </row>
    <row r="22" spans="1:7" x14ac:dyDescent="0.25">
      <c r="A22" s="324" t="s">
        <v>143</v>
      </c>
      <c r="B22" s="324"/>
      <c r="C22" s="324"/>
      <c r="D22" s="324"/>
      <c r="E22" s="324"/>
      <c r="F22" s="324"/>
      <c r="G22" s="87"/>
    </row>
    <row r="23" spans="1:7" x14ac:dyDescent="0.25">
      <c r="A23" s="380" t="s">
        <v>144</v>
      </c>
      <c r="B23" s="382" t="s">
        <v>15</v>
      </c>
      <c r="C23" s="383"/>
      <c r="D23" s="383"/>
      <c r="E23" s="384" t="s">
        <v>145</v>
      </c>
      <c r="F23" s="384"/>
      <c r="G23" s="93"/>
    </row>
    <row r="24" spans="1:7" ht="45" x14ac:dyDescent="0.25">
      <c r="A24" s="381"/>
      <c r="B24" s="94" t="s">
        <v>146</v>
      </c>
      <c r="C24" s="94" t="s">
        <v>147</v>
      </c>
      <c r="D24" s="95" t="s">
        <v>148</v>
      </c>
      <c r="E24" s="94" t="s">
        <v>149</v>
      </c>
      <c r="F24" s="94" t="s">
        <v>150</v>
      </c>
      <c r="G24" s="96"/>
    </row>
    <row r="25" spans="1:7" x14ac:dyDescent="0.25">
      <c r="A25" s="97" t="s">
        <v>228</v>
      </c>
      <c r="B25" s="98">
        <f>C11</f>
        <v>95592.960000000006</v>
      </c>
      <c r="C25" s="99">
        <f>F13</f>
        <v>176037.5</v>
      </c>
      <c r="D25" s="100">
        <f>D9</f>
        <v>768.40801097454232</v>
      </c>
      <c r="E25" s="99">
        <f>B25/D25</f>
        <v>124.40390864582884</v>
      </c>
      <c r="F25" s="98">
        <f>C25/D25</f>
        <v>229.0937854444521</v>
      </c>
      <c r="G25" s="12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x14ac:dyDescent="0.25">
      <c r="A29" s="87"/>
      <c r="B29" s="87"/>
      <c r="C29" s="87"/>
      <c r="D29" s="87"/>
      <c r="E29" s="87"/>
      <c r="F29" s="87"/>
      <c r="G29" s="87"/>
    </row>
    <row r="30" spans="1:7" ht="15.75" x14ac:dyDescent="0.25">
      <c r="A30" s="385" t="s">
        <v>55</v>
      </c>
      <c r="B30" s="385"/>
      <c r="C30" s="385"/>
      <c r="D30" s="31"/>
      <c r="E30" s="343" t="s">
        <v>57</v>
      </c>
      <c r="F30" s="343"/>
      <c r="G30" s="343"/>
    </row>
    <row r="31" spans="1:7" ht="15.75" x14ac:dyDescent="0.25">
      <c r="A31" s="379" t="s">
        <v>56</v>
      </c>
      <c r="B31" s="379"/>
      <c r="C31" s="379"/>
      <c r="D31" s="31"/>
      <c r="E31" s="31"/>
      <c r="F31" s="84"/>
      <c r="G31" s="31"/>
    </row>
    <row r="32" spans="1:7" x14ac:dyDescent="0.25">
      <c r="A32" s="87"/>
      <c r="B32" s="87"/>
      <c r="C32" s="87"/>
      <c r="D32" s="87"/>
      <c r="E32" s="87"/>
      <c r="F32" s="87"/>
      <c r="G32" s="87"/>
    </row>
    <row r="33" spans="1:7" x14ac:dyDescent="0.25">
      <c r="A33" s="87"/>
      <c r="B33" s="87"/>
      <c r="C33" s="87"/>
      <c r="D33" s="87"/>
      <c r="E33" s="87"/>
      <c r="F33" s="87"/>
      <c r="G33" s="87"/>
    </row>
  </sheetData>
  <mergeCells count="21">
    <mergeCell ref="A31:C31"/>
    <mergeCell ref="E21:F21"/>
    <mergeCell ref="A22:F22"/>
    <mergeCell ref="A23:A24"/>
    <mergeCell ref="B23:D23"/>
    <mergeCell ref="E23:F23"/>
    <mergeCell ref="A30:C30"/>
    <mergeCell ref="E30:G30"/>
    <mergeCell ref="A13:E13"/>
    <mergeCell ref="A15:A16"/>
    <mergeCell ref="B15:D15"/>
    <mergeCell ref="B16:D16"/>
    <mergeCell ref="A18:B19"/>
    <mergeCell ref="C18:E18"/>
    <mergeCell ref="C19:E19"/>
    <mergeCell ref="A11:B11"/>
    <mergeCell ref="A1:G1"/>
    <mergeCell ref="A2:F2"/>
    <mergeCell ref="A4:F4"/>
    <mergeCell ref="A6:G6"/>
    <mergeCell ref="A9:C9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Q56"/>
  <sheetViews>
    <sheetView zoomScaleNormal="100" workbookViewId="0">
      <selection activeCell="N12" sqref="N12"/>
    </sheetView>
  </sheetViews>
  <sheetFormatPr defaultRowHeight="15" x14ac:dyDescent="0.25"/>
  <cols>
    <col min="1" max="1" width="3.5703125" customWidth="1"/>
    <col min="2" max="2" width="15.140625" customWidth="1"/>
    <col min="3" max="3" width="16.28515625" customWidth="1"/>
    <col min="4" max="4" width="8.5703125" customWidth="1"/>
    <col min="5" max="5" width="5.85546875" customWidth="1"/>
    <col min="6" max="6" width="8.140625" customWidth="1"/>
    <col min="7" max="7" width="5.42578125" customWidth="1"/>
    <col min="8" max="8" width="7.28515625" customWidth="1"/>
    <col min="9" max="9" width="7.5703125" customWidth="1"/>
    <col min="10" max="10" width="7.140625" customWidth="1"/>
    <col min="11" max="11" width="7.5703125" customWidth="1"/>
    <col min="12" max="12" width="7.140625" customWidth="1"/>
    <col min="13" max="13" width="6.85546875" customWidth="1"/>
    <col min="14" max="14" width="6.7109375" customWidth="1"/>
    <col min="15" max="15" width="5.5703125" customWidth="1"/>
    <col min="16" max="16" width="6" customWidth="1"/>
    <col min="17" max="17" width="5.5703125" customWidth="1"/>
  </cols>
  <sheetData>
    <row r="1" spans="1:17" ht="12" customHeight="1" x14ac:dyDescent="0.25">
      <c r="A1" s="272"/>
      <c r="B1" s="273"/>
      <c r="C1" s="273"/>
      <c r="D1" s="273"/>
      <c r="E1" s="273"/>
      <c r="F1" s="274"/>
      <c r="G1" s="274"/>
      <c r="H1" s="274"/>
      <c r="I1" s="275"/>
      <c r="J1" s="274"/>
      <c r="K1" s="276"/>
      <c r="L1" s="472" t="s">
        <v>162</v>
      </c>
      <c r="M1" s="472"/>
      <c r="N1" s="472"/>
      <c r="O1" s="472"/>
      <c r="P1" s="472"/>
      <c r="Q1" s="473"/>
    </row>
    <row r="2" spans="1:17" ht="12" customHeight="1" x14ac:dyDescent="0.25">
      <c r="A2" s="277"/>
      <c r="B2" s="260"/>
      <c r="C2" s="260"/>
      <c r="D2" s="260"/>
      <c r="E2" s="260"/>
      <c r="F2" s="239"/>
      <c r="G2" s="239"/>
      <c r="H2" s="239"/>
      <c r="I2" s="278"/>
      <c r="J2" s="239"/>
      <c r="K2" s="474" t="s">
        <v>60</v>
      </c>
      <c r="L2" s="474"/>
      <c r="M2" s="474"/>
      <c r="N2" s="474"/>
      <c r="O2" s="474"/>
      <c r="P2" s="474"/>
      <c r="Q2" s="475"/>
    </row>
    <row r="3" spans="1:17" ht="12" customHeight="1" x14ac:dyDescent="0.25">
      <c r="A3" s="277"/>
      <c r="B3" s="260"/>
      <c r="C3" s="260"/>
      <c r="D3" s="260"/>
      <c r="E3" s="260"/>
      <c r="F3" s="239"/>
      <c r="G3" s="239"/>
      <c r="H3" s="239"/>
      <c r="I3" s="278"/>
      <c r="J3" s="239"/>
      <c r="K3" s="474" t="s">
        <v>376</v>
      </c>
      <c r="L3" s="474"/>
      <c r="M3" s="474"/>
      <c r="N3" s="474"/>
      <c r="O3" s="474"/>
      <c r="P3" s="474"/>
      <c r="Q3" s="475"/>
    </row>
    <row r="4" spans="1:17" ht="12" customHeight="1" x14ac:dyDescent="0.25">
      <c r="A4" s="277"/>
      <c r="B4" s="260"/>
      <c r="C4" s="260"/>
      <c r="D4" s="260"/>
      <c r="E4" s="260"/>
      <c r="F4" s="239"/>
      <c r="G4" s="239"/>
      <c r="H4" s="239"/>
      <c r="I4" s="278"/>
      <c r="J4" s="239"/>
      <c r="K4" s="474" t="s">
        <v>375</v>
      </c>
      <c r="L4" s="474"/>
      <c r="M4" s="474"/>
      <c r="N4" s="474"/>
      <c r="O4" s="474"/>
      <c r="P4" s="474"/>
      <c r="Q4" s="475"/>
    </row>
    <row r="5" spans="1:17" ht="12" customHeight="1" x14ac:dyDescent="0.25">
      <c r="A5" s="476" t="s">
        <v>93</v>
      </c>
      <c r="B5" s="457"/>
      <c r="C5" s="457"/>
      <c r="D5" s="457"/>
      <c r="E5" s="457"/>
      <c r="F5" s="457"/>
      <c r="G5" s="457"/>
      <c r="H5" s="457"/>
      <c r="I5" s="457"/>
      <c r="J5" s="457"/>
      <c r="K5" s="457"/>
      <c r="L5" s="457"/>
      <c r="M5" s="457"/>
      <c r="N5" s="457"/>
      <c r="O5" s="457"/>
      <c r="P5" s="457"/>
      <c r="Q5" s="279"/>
    </row>
    <row r="6" spans="1:17" ht="12" customHeight="1" x14ac:dyDescent="0.25">
      <c r="A6" s="477" t="s">
        <v>229</v>
      </c>
      <c r="B6" s="458"/>
      <c r="C6" s="458"/>
      <c r="D6" s="458"/>
      <c r="E6" s="458"/>
      <c r="F6" s="458"/>
      <c r="G6" s="458"/>
      <c r="H6" s="458"/>
      <c r="I6" s="458"/>
      <c r="J6" s="458"/>
      <c r="K6" s="458"/>
      <c r="L6" s="458"/>
      <c r="M6" s="458"/>
      <c r="N6" s="458"/>
      <c r="O6" s="458"/>
      <c r="P6" s="458"/>
      <c r="Q6" s="280"/>
    </row>
    <row r="7" spans="1:17" ht="19.5" customHeight="1" x14ac:dyDescent="0.25">
      <c r="A7" s="448" t="s">
        <v>13</v>
      </c>
      <c r="B7" s="450" t="s">
        <v>95</v>
      </c>
      <c r="C7" s="450"/>
      <c r="D7" s="450" t="s">
        <v>230</v>
      </c>
      <c r="E7" s="451" t="s">
        <v>231</v>
      </c>
      <c r="F7" s="452"/>
      <c r="G7" s="453"/>
      <c r="H7" s="450" t="s">
        <v>398</v>
      </c>
      <c r="I7" s="482" t="s">
        <v>402</v>
      </c>
      <c r="J7" s="450" t="s">
        <v>399</v>
      </c>
      <c r="K7" s="450" t="s">
        <v>400</v>
      </c>
      <c r="L7" s="478" t="s">
        <v>401</v>
      </c>
      <c r="M7" s="479" t="s">
        <v>232</v>
      </c>
      <c r="N7" s="480"/>
      <c r="O7" s="480"/>
      <c r="P7" s="480"/>
      <c r="Q7" s="481"/>
    </row>
    <row r="8" spans="1:17" ht="47.25" customHeight="1" x14ac:dyDescent="0.25">
      <c r="A8" s="449"/>
      <c r="B8" s="450"/>
      <c r="C8" s="450"/>
      <c r="D8" s="450"/>
      <c r="E8" s="454"/>
      <c r="F8" s="455"/>
      <c r="G8" s="456"/>
      <c r="H8" s="450"/>
      <c r="I8" s="482"/>
      <c r="J8" s="450"/>
      <c r="K8" s="450"/>
      <c r="L8" s="478"/>
      <c r="M8" s="262" t="s">
        <v>233</v>
      </c>
      <c r="N8" s="262" t="s">
        <v>234</v>
      </c>
      <c r="O8" s="262" t="s">
        <v>235</v>
      </c>
      <c r="P8" s="262" t="s">
        <v>236</v>
      </c>
      <c r="Q8" s="262" t="s">
        <v>237</v>
      </c>
    </row>
    <row r="9" spans="1:17" ht="11.25" customHeight="1" x14ac:dyDescent="0.25">
      <c r="A9" s="257">
        <v>1</v>
      </c>
      <c r="B9" s="434" t="s">
        <v>104</v>
      </c>
      <c r="C9" s="438"/>
      <c r="D9" s="210" t="s">
        <v>98</v>
      </c>
      <c r="E9" s="266">
        <v>130.1</v>
      </c>
      <c r="F9" s="101" t="s">
        <v>238</v>
      </c>
      <c r="G9" s="259"/>
      <c r="H9" s="212">
        <f>E9/35</f>
        <v>3.7171428571428571</v>
      </c>
      <c r="I9" s="212">
        <f>E9/'Плановый пробег'!B20</f>
        <v>13.01</v>
      </c>
      <c r="J9" s="212">
        <f>E9/'Плановый пробег'!E20</f>
        <v>13.01</v>
      </c>
      <c r="K9" s="212">
        <f>E9/'Плановый пробег'!E20</f>
        <v>13.01</v>
      </c>
      <c r="L9" s="212">
        <f>E9/'Плановый пробег'!F20</f>
        <v>13.01</v>
      </c>
      <c r="M9" s="212">
        <f>$E$9/5/'Плановый пробег'!D20</f>
        <v>5.2039999999999997</v>
      </c>
      <c r="N9" s="212">
        <f>$E$9/5/'Плановый пробег'!D20</f>
        <v>5.2039999999999997</v>
      </c>
      <c r="O9" s="212">
        <f>$E$9/5/'Плановый пробег'!D20</f>
        <v>5.2039999999999997</v>
      </c>
      <c r="P9" s="212">
        <f>$E$9/5/'Плановый пробег'!D20</f>
        <v>5.2039999999999997</v>
      </c>
      <c r="Q9" s="212">
        <f>$E$9/5/'Плановый пробег'!D20</f>
        <v>5.2039999999999997</v>
      </c>
    </row>
    <row r="10" spans="1:17" ht="11.25" customHeight="1" x14ac:dyDescent="0.25">
      <c r="A10" s="257">
        <v>2</v>
      </c>
      <c r="B10" s="434" t="s">
        <v>105</v>
      </c>
      <c r="C10" s="438"/>
      <c r="D10" s="210" t="s">
        <v>98</v>
      </c>
      <c r="E10" s="445">
        <v>0.30199999999999999</v>
      </c>
      <c r="F10" s="446"/>
      <c r="G10" s="447"/>
      <c r="H10" s="212">
        <f>H9*E10</f>
        <v>1.1225771428571427</v>
      </c>
      <c r="I10" s="212">
        <f t="shared" ref="I10:Q10" si="0">I9*$E$10</f>
        <v>3.92902</v>
      </c>
      <c r="J10" s="212">
        <f t="shared" si="0"/>
        <v>3.92902</v>
      </c>
      <c r="K10" s="212">
        <f t="shared" si="0"/>
        <v>3.92902</v>
      </c>
      <c r="L10" s="212">
        <f t="shared" si="0"/>
        <v>3.92902</v>
      </c>
      <c r="M10" s="212">
        <f t="shared" si="0"/>
        <v>1.5716079999999999</v>
      </c>
      <c r="N10" s="212">
        <f t="shared" si="0"/>
        <v>1.5716079999999999</v>
      </c>
      <c r="O10" s="212">
        <f t="shared" si="0"/>
        <v>1.5716079999999999</v>
      </c>
      <c r="P10" s="212">
        <f t="shared" si="0"/>
        <v>1.5716079999999999</v>
      </c>
      <c r="Q10" s="212">
        <f t="shared" si="0"/>
        <v>1.5716079999999999</v>
      </c>
    </row>
    <row r="11" spans="1:17" ht="11.25" customHeight="1" x14ac:dyDescent="0.25">
      <c r="A11" s="257">
        <v>3</v>
      </c>
      <c r="B11" s="434" t="s">
        <v>106</v>
      </c>
      <c r="C11" s="438"/>
      <c r="D11" s="210" t="s">
        <v>98</v>
      </c>
      <c r="E11" s="439"/>
      <c r="F11" s="440"/>
      <c r="G11" s="441"/>
      <c r="H11" s="212">
        <f>'Пробег КО-829'!F45/1.3</f>
        <v>42.080197776211655</v>
      </c>
      <c r="I11" s="212">
        <f>'Пробег КО-829'!F41</f>
        <v>54.704257109075158</v>
      </c>
      <c r="J11" s="212">
        <f>'Пробег КО-829'!F44</f>
        <v>54.704257109075158</v>
      </c>
      <c r="K11" s="212">
        <f>'Пробег КО-829'!F42</f>
        <v>54.704257109075158</v>
      </c>
      <c r="L11" s="212">
        <f>'Пробег КО-829'!F45</f>
        <v>54.704257109075158</v>
      </c>
      <c r="M11" s="212">
        <f>'Пробег КО-829'!F43</f>
        <v>18.234752369691716</v>
      </c>
      <c r="N11" s="212">
        <f>M11</f>
        <v>18.234752369691716</v>
      </c>
      <c r="O11" s="212">
        <f>M11</f>
        <v>18.234752369691716</v>
      </c>
      <c r="P11" s="212">
        <f>M11</f>
        <v>18.234752369691716</v>
      </c>
      <c r="Q11" s="212">
        <f>N11</f>
        <v>18.234752369691716</v>
      </c>
    </row>
    <row r="12" spans="1:17" ht="11.25" customHeight="1" x14ac:dyDescent="0.25">
      <c r="A12" s="257">
        <v>4</v>
      </c>
      <c r="B12" s="434" t="s">
        <v>108</v>
      </c>
      <c r="C12" s="438"/>
      <c r="D12" s="210" t="s">
        <v>98</v>
      </c>
      <c r="E12" s="439"/>
      <c r="F12" s="440"/>
      <c r="G12" s="440"/>
      <c r="H12" s="212">
        <f>'Пробег КО-829'!H41/1.3</f>
        <v>19.824643558540966</v>
      </c>
      <c r="I12" s="212">
        <f>'Пробег КО-829'!H41</f>
        <v>25.772036626103258</v>
      </c>
      <c r="J12" s="212">
        <f>'Пробег КО-829'!H44</f>
        <v>25.772036626103262</v>
      </c>
      <c r="K12" s="212">
        <f>'Пробег КО-829'!H42</f>
        <v>25.772036626103258</v>
      </c>
      <c r="L12" s="212">
        <f>'Пробег КО-829'!H45</f>
        <v>25.772036626103262</v>
      </c>
      <c r="M12" s="212">
        <f>'Пробег КО-829'!H43</f>
        <v>8.5906788753677521</v>
      </c>
      <c r="N12" s="212">
        <f>M12</f>
        <v>8.5906788753677521</v>
      </c>
      <c r="O12" s="212">
        <f>M12</f>
        <v>8.5906788753677521</v>
      </c>
      <c r="P12" s="212">
        <f>M12</f>
        <v>8.5906788753677521</v>
      </c>
      <c r="Q12" s="212">
        <f>N12</f>
        <v>8.5906788753677521</v>
      </c>
    </row>
    <row r="13" spans="1:17" ht="11.25" customHeight="1" x14ac:dyDescent="0.25">
      <c r="A13" s="257">
        <v>5</v>
      </c>
      <c r="B13" s="434" t="s">
        <v>109</v>
      </c>
      <c r="C13" s="438"/>
      <c r="D13" s="213" t="s">
        <v>356</v>
      </c>
      <c r="E13" s="216"/>
      <c r="F13" s="261"/>
      <c r="G13" s="261"/>
      <c r="H13" s="218">
        <v>0.34</v>
      </c>
      <c r="I13" s="281">
        <v>0.61</v>
      </c>
      <c r="J13" s="218">
        <v>0.61</v>
      </c>
      <c r="K13" s="218">
        <v>0.745</v>
      </c>
      <c r="L13" s="218">
        <v>0.745</v>
      </c>
      <c r="M13" s="218">
        <v>0.61</v>
      </c>
      <c r="N13" s="218">
        <v>0.61</v>
      </c>
      <c r="O13" s="218">
        <v>0.61</v>
      </c>
      <c r="P13" s="218">
        <v>0.61</v>
      </c>
      <c r="Q13" s="218">
        <v>0.61</v>
      </c>
    </row>
    <row r="14" spans="1:17" ht="11.25" customHeight="1" x14ac:dyDescent="0.25">
      <c r="A14" s="257"/>
      <c r="B14" s="219"/>
      <c r="C14" s="220" t="s">
        <v>239</v>
      </c>
      <c r="D14" s="210" t="s">
        <v>98</v>
      </c>
      <c r="E14" s="263">
        <v>36.67</v>
      </c>
      <c r="F14" s="261" t="s">
        <v>98</v>
      </c>
      <c r="G14" s="263"/>
      <c r="H14" s="212">
        <f>H13*$E$14</f>
        <v>12.467800000000002</v>
      </c>
      <c r="I14" s="212">
        <f t="shared" ref="I14:Q14" si="1">I13*$E$14</f>
        <v>22.3687</v>
      </c>
      <c r="J14" s="212">
        <f t="shared" si="1"/>
        <v>22.3687</v>
      </c>
      <c r="K14" s="212">
        <f>K13*$E$14</f>
        <v>27.31915</v>
      </c>
      <c r="L14" s="212">
        <f t="shared" si="1"/>
        <v>27.31915</v>
      </c>
      <c r="M14" s="212">
        <f>M13*$E$14</f>
        <v>22.3687</v>
      </c>
      <c r="N14" s="212">
        <f t="shared" si="1"/>
        <v>22.3687</v>
      </c>
      <c r="O14" s="212">
        <f t="shared" si="1"/>
        <v>22.3687</v>
      </c>
      <c r="P14" s="212">
        <f t="shared" si="1"/>
        <v>22.3687</v>
      </c>
      <c r="Q14" s="212">
        <f t="shared" si="1"/>
        <v>22.3687</v>
      </c>
    </row>
    <row r="15" spans="1:17" ht="11.25" customHeight="1" x14ac:dyDescent="0.25">
      <c r="A15" s="257">
        <v>6</v>
      </c>
      <c r="B15" s="434" t="s">
        <v>112</v>
      </c>
      <c r="C15" s="438"/>
      <c r="D15" s="210"/>
      <c r="E15" s="440"/>
      <c r="F15" s="440"/>
      <c r="G15" s="440"/>
      <c r="H15" s="214"/>
      <c r="I15" s="214"/>
      <c r="J15" s="214"/>
      <c r="K15" s="214"/>
      <c r="L15" s="214"/>
      <c r="M15" s="214"/>
      <c r="N15" s="213"/>
      <c r="O15" s="213"/>
      <c r="P15" s="213"/>
      <c r="Q15" s="213"/>
    </row>
    <row r="16" spans="1:17" ht="12.75" customHeight="1" x14ac:dyDescent="0.25">
      <c r="A16" s="257"/>
      <c r="B16" s="219" t="s">
        <v>113</v>
      </c>
      <c r="C16" s="213"/>
      <c r="D16" s="210" t="s">
        <v>98</v>
      </c>
      <c r="E16" s="268">
        <v>2.8000000000000001E-2</v>
      </c>
      <c r="F16" s="264" t="s">
        <v>240</v>
      </c>
      <c r="G16" s="269">
        <v>186.99</v>
      </c>
      <c r="H16" s="214">
        <f>E16*$H$13*G16</f>
        <v>1.7801448000000002</v>
      </c>
      <c r="I16" s="214">
        <f>E16*$I$13*G16</f>
        <v>3.1937892000000003</v>
      </c>
      <c r="J16" s="214">
        <f>E16*$J$13*G16</f>
        <v>3.1937892000000003</v>
      </c>
      <c r="K16" s="214">
        <f>E16*$K$13*G16</f>
        <v>3.9006114000000003</v>
      </c>
      <c r="L16" s="214">
        <f>E16*$L$13*G16</f>
        <v>3.9006114000000003</v>
      </c>
      <c r="M16" s="214">
        <f>E16*$M$13*G16</f>
        <v>3.1937892000000003</v>
      </c>
      <c r="N16" s="214">
        <f>E16*$N$13*G16</f>
        <v>3.1937892000000003</v>
      </c>
      <c r="O16" s="214">
        <f>E16*$O$13*G16</f>
        <v>3.1937892000000003</v>
      </c>
      <c r="P16" s="214">
        <f>E16*$P$13*G16</f>
        <v>3.1937892000000003</v>
      </c>
      <c r="Q16" s="214">
        <f>E16*$Q$13*G16</f>
        <v>3.1937892000000003</v>
      </c>
    </row>
    <row r="17" spans="1:17" ht="14.25" customHeight="1" x14ac:dyDescent="0.25">
      <c r="A17" s="257"/>
      <c r="B17" s="219" t="s">
        <v>115</v>
      </c>
      <c r="C17" s="213"/>
      <c r="D17" s="210" t="s">
        <v>98</v>
      </c>
      <c r="E17" s="268">
        <v>4.0000000000000001E-3</v>
      </c>
      <c r="F17" s="265" t="s">
        <v>116</v>
      </c>
      <c r="G17" s="269">
        <v>107.82</v>
      </c>
      <c r="H17" s="214">
        <f>E17*$H$13*G17</f>
        <v>0.14663519999999999</v>
      </c>
      <c r="I17" s="214">
        <f>E17*$I$13*G17</f>
        <v>0.26308079999999995</v>
      </c>
      <c r="J17" s="214">
        <f>E17*$J$13*G17</f>
        <v>0.26308079999999995</v>
      </c>
      <c r="K17" s="214">
        <f>E17*$K$13*G17</f>
        <v>0.32130359999999997</v>
      </c>
      <c r="L17" s="214">
        <f>E17*$L$13*G17</f>
        <v>0.32130359999999997</v>
      </c>
      <c r="M17" s="214">
        <f>E17*$M$13*G17</f>
        <v>0.26308079999999995</v>
      </c>
      <c r="N17" s="214">
        <f>E17*$N$13*G17</f>
        <v>0.26308079999999995</v>
      </c>
      <c r="O17" s="214">
        <f>E17*$O$13*G17</f>
        <v>0.26308079999999995</v>
      </c>
      <c r="P17" s="214">
        <f>E17*$P$13*G17</f>
        <v>0.26308079999999995</v>
      </c>
      <c r="Q17" s="214">
        <f>E17*$Q$13*G17</f>
        <v>0.26308079999999995</v>
      </c>
    </row>
    <row r="18" spans="1:17" ht="12.75" customHeight="1" x14ac:dyDescent="0.25">
      <c r="A18" s="257"/>
      <c r="B18" s="431" t="s">
        <v>117</v>
      </c>
      <c r="C18" s="432"/>
      <c r="D18" s="210" t="s">
        <v>98</v>
      </c>
      <c r="E18" s="268">
        <v>1.4999999999999999E-2</v>
      </c>
      <c r="F18" s="265" t="s">
        <v>116</v>
      </c>
      <c r="G18" s="269">
        <v>75.260000000000005</v>
      </c>
      <c r="H18" s="214">
        <f>E18*$H$13*G18</f>
        <v>0.38382600000000006</v>
      </c>
      <c r="I18" s="214">
        <f>E18*$I$13*G18</f>
        <v>0.68862900000000005</v>
      </c>
      <c r="J18" s="214">
        <f>E18*$J$13*G18</f>
        <v>0.68862900000000005</v>
      </c>
      <c r="K18" s="214">
        <f>E18*$K$13*G18</f>
        <v>0.84103050000000001</v>
      </c>
      <c r="L18" s="214">
        <f>E18*$L$13*G18</f>
        <v>0.84103050000000001</v>
      </c>
      <c r="M18" s="214">
        <f>E18*$M$13*G18</f>
        <v>0.68862900000000005</v>
      </c>
      <c r="N18" s="214">
        <f>E18*$N$13*G18</f>
        <v>0.68862900000000005</v>
      </c>
      <c r="O18" s="214">
        <f>E18*$O$13*G18</f>
        <v>0.68862900000000005</v>
      </c>
      <c r="P18" s="214">
        <f>E18*$P$13*G18</f>
        <v>0.68862900000000005</v>
      </c>
      <c r="Q18" s="214">
        <f>E18*$Q$13*G18</f>
        <v>0.68862900000000005</v>
      </c>
    </row>
    <row r="19" spans="1:17" ht="12.75" customHeight="1" x14ac:dyDescent="0.25">
      <c r="A19" s="257"/>
      <c r="B19" s="431" t="s">
        <v>118</v>
      </c>
      <c r="C19" s="432"/>
      <c r="D19" s="210" t="s">
        <v>98</v>
      </c>
      <c r="E19" s="268">
        <v>3.5000000000000003E-2</v>
      </c>
      <c r="F19" s="265" t="s">
        <v>116</v>
      </c>
      <c r="G19" s="269">
        <v>132.04</v>
      </c>
      <c r="H19" s="214">
        <f>E19*$H$13*G19</f>
        <v>1.5712760000000003</v>
      </c>
      <c r="I19" s="214">
        <f>E19*$I$13*G19</f>
        <v>2.8190539999999999</v>
      </c>
      <c r="J19" s="214">
        <f>E19*$J$13*G19</f>
        <v>2.8190539999999999</v>
      </c>
      <c r="K19" s="214">
        <f>E19*$K$13*G19</f>
        <v>3.4429430000000001</v>
      </c>
      <c r="L19" s="214">
        <f>E19*$L$13*G19</f>
        <v>3.4429430000000001</v>
      </c>
      <c r="M19" s="214">
        <f>E19*$M$13*G19</f>
        <v>2.8190539999999999</v>
      </c>
      <c r="N19" s="214">
        <f>E19*$N$13*G19</f>
        <v>2.8190539999999999</v>
      </c>
      <c r="O19" s="214">
        <f>E19*$O$13*G19</f>
        <v>2.8190539999999999</v>
      </c>
      <c r="P19" s="214">
        <f>E19*$P$13*G19</f>
        <v>2.8190539999999999</v>
      </c>
      <c r="Q19" s="214">
        <f>E19*$Q$13*G19</f>
        <v>2.8190539999999999</v>
      </c>
    </row>
    <row r="20" spans="1:17" ht="14.25" customHeight="1" x14ac:dyDescent="0.25">
      <c r="A20" s="257"/>
      <c r="B20" s="431" t="s">
        <v>119</v>
      </c>
      <c r="C20" s="432"/>
      <c r="D20" s="210"/>
      <c r="E20" s="479"/>
      <c r="F20" s="480"/>
      <c r="G20" s="481"/>
      <c r="H20" s="212">
        <f>SUM(H16:H19)</f>
        <v>3.8818820000000009</v>
      </c>
      <c r="I20" s="212">
        <f>SUM(I16:I19)</f>
        <v>6.9645530000000004</v>
      </c>
      <c r="J20" s="212">
        <f t="shared" ref="J20:Q20" si="2">SUM(J16:J19)</f>
        <v>6.9645530000000004</v>
      </c>
      <c r="K20" s="212">
        <f>SUM(K16:K19)</f>
        <v>8.5058884999999993</v>
      </c>
      <c r="L20" s="212">
        <f t="shared" si="2"/>
        <v>8.5058884999999993</v>
      </c>
      <c r="M20" s="212">
        <f t="shared" si="2"/>
        <v>6.9645530000000004</v>
      </c>
      <c r="N20" s="212">
        <f t="shared" si="2"/>
        <v>6.9645530000000004</v>
      </c>
      <c r="O20" s="212">
        <f t="shared" si="2"/>
        <v>6.9645530000000004</v>
      </c>
      <c r="P20" s="212">
        <f t="shared" si="2"/>
        <v>6.9645530000000004</v>
      </c>
      <c r="Q20" s="212">
        <f t="shared" si="2"/>
        <v>6.9645530000000004</v>
      </c>
    </row>
    <row r="21" spans="1:17" ht="12.75" customHeight="1" x14ac:dyDescent="0.25">
      <c r="A21" s="257">
        <v>7</v>
      </c>
      <c r="B21" s="434" t="s">
        <v>241</v>
      </c>
      <c r="C21" s="438"/>
      <c r="D21" s="215" t="s">
        <v>242</v>
      </c>
      <c r="E21" s="486"/>
      <c r="F21" s="487"/>
      <c r="G21" s="488"/>
      <c r="H21" s="214"/>
      <c r="I21" s="214"/>
      <c r="J21" s="214"/>
      <c r="K21" s="214"/>
      <c r="L21" s="214"/>
      <c r="M21" s="214">
        <f>120/1000*1000</f>
        <v>120</v>
      </c>
      <c r="N21" s="214">
        <f>120/1000*1000</f>
        <v>120</v>
      </c>
      <c r="O21" s="214">
        <f>30/1000*1000</f>
        <v>30</v>
      </c>
      <c r="P21" s="214">
        <f>40/1000*1000</f>
        <v>40</v>
      </c>
      <c r="Q21" s="214">
        <v>40</v>
      </c>
    </row>
    <row r="22" spans="1:17" ht="12.75" customHeight="1" x14ac:dyDescent="0.25">
      <c r="A22" s="257"/>
      <c r="B22" s="431" t="s">
        <v>243</v>
      </c>
      <c r="C22" s="432"/>
      <c r="D22" s="215"/>
      <c r="E22" s="455"/>
      <c r="F22" s="455"/>
      <c r="G22" s="455"/>
      <c r="H22" s="214"/>
      <c r="I22" s="214"/>
      <c r="J22" s="214"/>
      <c r="K22" s="214"/>
      <c r="L22" s="214"/>
      <c r="M22" s="225" t="s">
        <v>244</v>
      </c>
      <c r="N22" s="225" t="s">
        <v>245</v>
      </c>
      <c r="O22" s="225" t="s">
        <v>245</v>
      </c>
      <c r="P22" s="225" t="s">
        <v>246</v>
      </c>
      <c r="Q22" s="226" t="s">
        <v>244</v>
      </c>
    </row>
    <row r="23" spans="1:17" ht="12.75" customHeight="1" x14ac:dyDescent="0.25">
      <c r="A23" s="257"/>
      <c r="B23" s="431" t="s">
        <v>247</v>
      </c>
      <c r="C23" s="432"/>
      <c r="D23" s="210" t="s">
        <v>248</v>
      </c>
      <c r="E23" s="483">
        <v>0.45</v>
      </c>
      <c r="F23" s="484"/>
      <c r="G23" s="484"/>
      <c r="H23" s="214"/>
      <c r="I23" s="214"/>
      <c r="J23" s="214"/>
      <c r="K23" s="214"/>
      <c r="L23" s="214"/>
      <c r="M23" s="212">
        <f>90*1000*0.00045</f>
        <v>40.5</v>
      </c>
      <c r="N23" s="212">
        <f>60*1000*0.00045</f>
        <v>27</v>
      </c>
      <c r="O23" s="212">
        <f>15*1000*0.00045</f>
        <v>6.75</v>
      </c>
      <c r="P23" s="212">
        <f>10*1000*0.00045</f>
        <v>4.5</v>
      </c>
      <c r="Q23" s="212">
        <f>30*E23</f>
        <v>13.5</v>
      </c>
    </row>
    <row r="24" spans="1:17" ht="12.75" customHeight="1" x14ac:dyDescent="0.25">
      <c r="A24" s="257"/>
      <c r="B24" s="431" t="s">
        <v>249</v>
      </c>
      <c r="C24" s="432"/>
      <c r="D24" s="210" t="s">
        <v>248</v>
      </c>
      <c r="E24" s="483">
        <f>3.84</f>
        <v>3.84</v>
      </c>
      <c r="F24" s="484"/>
      <c r="G24" s="485"/>
      <c r="H24" s="214"/>
      <c r="I24" s="214"/>
      <c r="J24" s="214"/>
      <c r="K24" s="214"/>
      <c r="L24" s="214"/>
      <c r="M24" s="212">
        <f>30*1000*0.00384</f>
        <v>115.2</v>
      </c>
      <c r="N24" s="212">
        <f>60*1000*0.00384</f>
        <v>230.4</v>
      </c>
      <c r="O24" s="212">
        <f>15*1000*0.00384</f>
        <v>57.6</v>
      </c>
      <c r="P24" s="267">
        <f>30*1000*0.00384</f>
        <v>115.2</v>
      </c>
      <c r="Q24" s="212">
        <f>10*E24</f>
        <v>38.4</v>
      </c>
    </row>
    <row r="25" spans="1:17" ht="12.75" customHeight="1" x14ac:dyDescent="0.25">
      <c r="A25" s="257"/>
      <c r="B25" s="431" t="s">
        <v>250</v>
      </c>
      <c r="C25" s="432"/>
      <c r="D25" s="210" t="s">
        <v>248</v>
      </c>
      <c r="E25" s="483"/>
      <c r="F25" s="484"/>
      <c r="G25" s="485"/>
      <c r="H25" s="214"/>
      <c r="I25" s="214"/>
      <c r="J25" s="214"/>
      <c r="K25" s="214"/>
      <c r="L25" s="214"/>
      <c r="M25" s="214">
        <f>M23+M24</f>
        <v>155.69999999999999</v>
      </c>
      <c r="N25" s="214">
        <f>N23+N24</f>
        <v>257.39999999999998</v>
      </c>
      <c r="O25" s="214">
        <f>O23+O24</f>
        <v>64.349999999999994</v>
      </c>
      <c r="P25" s="214">
        <f>P23+P24</f>
        <v>119.7</v>
      </c>
      <c r="Q25" s="214">
        <f>Q23+Q24</f>
        <v>51.9</v>
      </c>
    </row>
    <row r="26" spans="1:17" ht="12.75" customHeight="1" x14ac:dyDescent="0.25">
      <c r="A26" s="257">
        <v>8</v>
      </c>
      <c r="B26" s="434" t="s">
        <v>251</v>
      </c>
      <c r="C26" s="438"/>
      <c r="D26" s="258"/>
      <c r="E26" s="486" t="s">
        <v>252</v>
      </c>
      <c r="F26" s="487"/>
      <c r="G26" s="488"/>
      <c r="H26" s="227"/>
      <c r="I26" s="227"/>
      <c r="J26" s="227"/>
      <c r="K26" s="227"/>
      <c r="L26" s="227"/>
      <c r="M26" s="212"/>
      <c r="N26" s="212"/>
      <c r="O26" s="212"/>
      <c r="P26" s="212"/>
      <c r="Q26" s="212"/>
    </row>
    <row r="27" spans="1:17" ht="12.75" customHeight="1" x14ac:dyDescent="0.25">
      <c r="A27" s="257"/>
      <c r="B27" s="431" t="s">
        <v>253</v>
      </c>
      <c r="C27" s="432"/>
      <c r="D27" s="210" t="s">
        <v>254</v>
      </c>
      <c r="E27" s="271">
        <v>4200</v>
      </c>
      <c r="F27" s="489" t="s">
        <v>255</v>
      </c>
      <c r="G27" s="490"/>
      <c r="H27" s="227"/>
      <c r="I27" s="227"/>
      <c r="J27" s="227"/>
      <c r="K27" s="227"/>
      <c r="L27" s="227"/>
      <c r="M27" s="214">
        <f>$E$27/M21</f>
        <v>35</v>
      </c>
      <c r="N27" s="214">
        <f>$E$27/N21</f>
        <v>35</v>
      </c>
      <c r="O27" s="214">
        <f>$E$27/O21</f>
        <v>140</v>
      </c>
      <c r="P27" s="214">
        <f>$E$27/P21</f>
        <v>105</v>
      </c>
      <c r="Q27" s="214">
        <f>$E$27/Q21</f>
        <v>105</v>
      </c>
    </row>
    <row r="28" spans="1:17" ht="12.75" customHeight="1" x14ac:dyDescent="0.25">
      <c r="A28" s="257"/>
      <c r="B28" s="431" t="s">
        <v>256</v>
      </c>
      <c r="C28" s="432"/>
      <c r="D28" s="210" t="s">
        <v>248</v>
      </c>
      <c r="E28" s="270">
        <f>J50</f>
        <v>901.17318689019874</v>
      </c>
      <c r="F28" s="484" t="s">
        <v>357</v>
      </c>
      <c r="G28" s="485"/>
      <c r="H28" s="227"/>
      <c r="I28" s="227"/>
      <c r="J28" s="227"/>
      <c r="K28" s="227"/>
      <c r="L28" s="227"/>
      <c r="M28" s="212">
        <f>$E$28/M27</f>
        <v>25.747805339719964</v>
      </c>
      <c r="N28" s="212">
        <f>$E$28/N27</f>
        <v>25.747805339719964</v>
      </c>
      <c r="O28" s="212">
        <f>$E$28/O27</f>
        <v>6.4369513349299909</v>
      </c>
      <c r="P28" s="212">
        <f>$E$28/P27</f>
        <v>8.5826017799066552</v>
      </c>
      <c r="Q28" s="212">
        <f>$E$28/Q27</f>
        <v>8.5826017799066552</v>
      </c>
    </row>
    <row r="29" spans="1:17" ht="12.75" customHeight="1" x14ac:dyDescent="0.25">
      <c r="A29" s="257">
        <v>9</v>
      </c>
      <c r="B29" s="434" t="s">
        <v>120</v>
      </c>
      <c r="C29" s="438"/>
      <c r="D29" s="215"/>
      <c r="E29" s="491">
        <v>0.6</v>
      </c>
      <c r="F29" s="492"/>
      <c r="G29" s="493"/>
      <c r="H29" s="212">
        <f>H9*E29</f>
        <v>2.230285714285714</v>
      </c>
      <c r="I29" s="212">
        <f t="shared" ref="I29:Q29" si="3">I9*$E$29</f>
        <v>7.8059999999999992</v>
      </c>
      <c r="J29" s="212">
        <f t="shared" si="3"/>
        <v>7.8059999999999992</v>
      </c>
      <c r="K29" s="212">
        <f t="shared" si="3"/>
        <v>7.8059999999999992</v>
      </c>
      <c r="L29" s="212">
        <f t="shared" si="3"/>
        <v>7.8059999999999992</v>
      </c>
      <c r="M29" s="212">
        <f t="shared" si="3"/>
        <v>3.1223999999999998</v>
      </c>
      <c r="N29" s="212">
        <f t="shared" si="3"/>
        <v>3.1223999999999998</v>
      </c>
      <c r="O29" s="212">
        <f t="shared" si="3"/>
        <v>3.1223999999999998</v>
      </c>
      <c r="P29" s="212">
        <f t="shared" si="3"/>
        <v>3.1223999999999998</v>
      </c>
      <c r="Q29" s="212">
        <f t="shared" si="3"/>
        <v>3.1223999999999998</v>
      </c>
    </row>
    <row r="30" spans="1:17" ht="12.75" customHeight="1" x14ac:dyDescent="0.25">
      <c r="A30" s="257">
        <v>10</v>
      </c>
      <c r="B30" s="434" t="s">
        <v>121</v>
      </c>
      <c r="C30" s="438"/>
      <c r="D30" s="232"/>
      <c r="E30" s="494"/>
      <c r="F30" s="494"/>
      <c r="G30" s="494"/>
      <c r="H30" s="212">
        <f>H9+H10+H11+H12+H14+H20+H29</f>
        <v>85.324529049038333</v>
      </c>
      <c r="I30" s="212">
        <f>I9+I10+I11+I12+I14+I20+I29</f>
        <v>134.55456673517841</v>
      </c>
      <c r="J30" s="212">
        <f>J9+J10+J11+J12+J14+J20+J29</f>
        <v>134.55456673517841</v>
      </c>
      <c r="K30" s="212">
        <f>K9+K10+K11+K12+K14+K20+K29</f>
        <v>141.04635223517843</v>
      </c>
      <c r="L30" s="212">
        <f>L9+L10+L11+L12+L14+L20+L29</f>
        <v>141.04635223517843</v>
      </c>
      <c r="M30" s="212">
        <f>M9+M10+M11+M12+M14+M20+M23+M24+M28+M29</f>
        <v>247.50449758477947</v>
      </c>
      <c r="N30" s="212">
        <f>N9+N10+N11+N12+N14+N20+N23+N24+N28+N29</f>
        <v>349.20449758477946</v>
      </c>
      <c r="O30" s="267">
        <f>O9+O10+O11+O12+O14+O20+O23+O24+O28+O29</f>
        <v>136.84364357998948</v>
      </c>
      <c r="P30" s="267">
        <f>P9+P10+P11+P12+P14+P20+P23+P24+P28+P29</f>
        <v>194.33929402496616</v>
      </c>
      <c r="Q30" s="267">
        <f>Q9+Q10+Q11+Q12+Q14+Q20+Q23+Q24+Q28+Q29</f>
        <v>126.53929402496614</v>
      </c>
    </row>
    <row r="31" spans="1:17" ht="12.75" customHeight="1" x14ac:dyDescent="0.25">
      <c r="A31" s="257">
        <v>11</v>
      </c>
      <c r="B31" s="434" t="s">
        <v>122</v>
      </c>
      <c r="C31" s="438"/>
      <c r="D31" s="232"/>
      <c r="E31" s="486"/>
      <c r="F31" s="487"/>
      <c r="G31" s="488"/>
      <c r="H31" s="212"/>
      <c r="I31" s="212"/>
      <c r="J31" s="212"/>
      <c r="K31" s="212"/>
      <c r="L31" s="212"/>
      <c r="M31" s="212"/>
      <c r="N31" s="257"/>
      <c r="O31" s="257"/>
      <c r="P31" s="257"/>
      <c r="Q31" s="257"/>
    </row>
    <row r="32" spans="1:17" ht="22.5" customHeight="1" x14ac:dyDescent="0.25">
      <c r="A32" s="213"/>
      <c r="B32" s="431" t="s">
        <v>123</v>
      </c>
      <c r="C32" s="432"/>
      <c r="D32" s="215" t="s">
        <v>98</v>
      </c>
      <c r="E32" s="491">
        <v>0.1</v>
      </c>
      <c r="F32" s="492"/>
      <c r="G32" s="493"/>
      <c r="H32" s="214">
        <f>H30*E32</f>
        <v>8.5324529049038329</v>
      </c>
      <c r="I32" s="214">
        <f t="shared" ref="I32:Q32" si="4">I30*$E$32</f>
        <v>13.455456673517842</v>
      </c>
      <c r="J32" s="214">
        <f t="shared" si="4"/>
        <v>13.455456673517842</v>
      </c>
      <c r="K32" s="214">
        <f t="shared" si="4"/>
        <v>14.104635223517844</v>
      </c>
      <c r="L32" s="214">
        <f t="shared" si="4"/>
        <v>14.104635223517844</v>
      </c>
      <c r="M32" s="214">
        <f t="shared" si="4"/>
        <v>24.750449758477949</v>
      </c>
      <c r="N32" s="214">
        <f t="shared" si="4"/>
        <v>34.92044975847795</v>
      </c>
      <c r="O32" s="214">
        <f t="shared" si="4"/>
        <v>13.684364357998948</v>
      </c>
      <c r="P32" s="214">
        <f t="shared" si="4"/>
        <v>19.433929402496616</v>
      </c>
      <c r="Q32" s="214">
        <f t="shared" si="4"/>
        <v>12.653929402496615</v>
      </c>
    </row>
    <row r="33" spans="1:17" ht="22.5" customHeight="1" x14ac:dyDescent="0.25">
      <c r="A33" s="213"/>
      <c r="B33" s="431" t="s">
        <v>124</v>
      </c>
      <c r="C33" s="432"/>
      <c r="D33" s="215" t="s">
        <v>98</v>
      </c>
      <c r="E33" s="491">
        <v>0.15</v>
      </c>
      <c r="F33" s="492"/>
      <c r="G33" s="493"/>
      <c r="H33" s="214">
        <f>H30*E33</f>
        <v>12.79867935735575</v>
      </c>
      <c r="I33" s="214">
        <f t="shared" ref="I33:Q33" si="5">I30*$E$33</f>
        <v>20.183185010276762</v>
      </c>
      <c r="J33" s="214">
        <f t="shared" si="5"/>
        <v>20.183185010276762</v>
      </c>
      <c r="K33" s="214">
        <f t="shared" si="5"/>
        <v>21.156952835276766</v>
      </c>
      <c r="L33" s="214">
        <f t="shared" si="5"/>
        <v>21.156952835276766</v>
      </c>
      <c r="M33" s="214">
        <f t="shared" si="5"/>
        <v>37.125674637716919</v>
      </c>
      <c r="N33" s="214">
        <f t="shared" si="5"/>
        <v>52.380674637716915</v>
      </c>
      <c r="O33" s="214">
        <f t="shared" si="5"/>
        <v>20.526546536998421</v>
      </c>
      <c r="P33" s="214">
        <f t="shared" si="5"/>
        <v>29.150894103744925</v>
      </c>
      <c r="Q33" s="214">
        <f t="shared" si="5"/>
        <v>18.980894103744919</v>
      </c>
    </row>
    <row r="34" spans="1:17" ht="20.25" customHeight="1" x14ac:dyDescent="0.25">
      <c r="A34" s="448" t="s">
        <v>13</v>
      </c>
      <c r="B34" s="450" t="s">
        <v>95</v>
      </c>
      <c r="C34" s="450"/>
      <c r="D34" s="450" t="s">
        <v>230</v>
      </c>
      <c r="E34" s="451" t="s">
        <v>231</v>
      </c>
      <c r="F34" s="452"/>
      <c r="G34" s="453"/>
      <c r="H34" s="450" t="s">
        <v>398</v>
      </c>
      <c r="I34" s="482" t="s">
        <v>397</v>
      </c>
      <c r="J34" s="450" t="s">
        <v>399</v>
      </c>
      <c r="K34" s="450" t="s">
        <v>400</v>
      </c>
      <c r="L34" s="478" t="s">
        <v>401</v>
      </c>
      <c r="M34" s="479" t="s">
        <v>232</v>
      </c>
      <c r="N34" s="480"/>
      <c r="O34" s="480"/>
      <c r="P34" s="480"/>
      <c r="Q34" s="481"/>
    </row>
    <row r="35" spans="1:17" ht="48" customHeight="1" x14ac:dyDescent="0.25">
      <c r="A35" s="449"/>
      <c r="B35" s="450"/>
      <c r="C35" s="450"/>
      <c r="D35" s="450"/>
      <c r="E35" s="454"/>
      <c r="F35" s="455"/>
      <c r="G35" s="456"/>
      <c r="H35" s="450"/>
      <c r="I35" s="482"/>
      <c r="J35" s="450"/>
      <c r="K35" s="450"/>
      <c r="L35" s="478"/>
      <c r="M35" s="262" t="s">
        <v>233</v>
      </c>
      <c r="N35" s="262" t="s">
        <v>234</v>
      </c>
      <c r="O35" s="262" t="s">
        <v>235</v>
      </c>
      <c r="P35" s="262" t="s">
        <v>236</v>
      </c>
      <c r="Q35" s="262" t="s">
        <v>237</v>
      </c>
    </row>
    <row r="36" spans="1:17" ht="23.25" customHeight="1" x14ac:dyDescent="0.25">
      <c r="A36" s="213"/>
      <c r="B36" s="431" t="s">
        <v>123</v>
      </c>
      <c r="C36" s="432"/>
      <c r="D36" s="215" t="s">
        <v>98</v>
      </c>
      <c r="E36" s="479"/>
      <c r="F36" s="480"/>
      <c r="G36" s="481"/>
      <c r="H36" s="212">
        <f t="shared" ref="H36:Q36" si="6">H30+H32</f>
        <v>93.856981953942167</v>
      </c>
      <c r="I36" s="212">
        <f t="shared" si="6"/>
        <v>148.01002340869624</v>
      </c>
      <c r="J36" s="212">
        <f t="shared" si="6"/>
        <v>148.01002340869624</v>
      </c>
      <c r="K36" s="212">
        <f t="shared" si="6"/>
        <v>155.15098745869628</v>
      </c>
      <c r="L36" s="212">
        <f t="shared" si="6"/>
        <v>155.15098745869628</v>
      </c>
      <c r="M36" s="212">
        <f>M30+M32</f>
        <v>272.25494734325741</v>
      </c>
      <c r="N36" s="212">
        <f t="shared" si="6"/>
        <v>384.12494734325742</v>
      </c>
      <c r="O36" s="267">
        <f t="shared" si="6"/>
        <v>150.52800793798843</v>
      </c>
      <c r="P36" s="267">
        <f t="shared" si="6"/>
        <v>213.77322342746277</v>
      </c>
      <c r="Q36" s="267">
        <f t="shared" si="6"/>
        <v>139.19322342746275</v>
      </c>
    </row>
    <row r="37" spans="1:17" ht="24.75" customHeight="1" x14ac:dyDescent="0.25">
      <c r="A37" s="213"/>
      <c r="B37" s="431" t="s">
        <v>124</v>
      </c>
      <c r="C37" s="432"/>
      <c r="D37" s="215" t="s">
        <v>98</v>
      </c>
      <c r="E37" s="479"/>
      <c r="F37" s="480"/>
      <c r="G37" s="481"/>
      <c r="H37" s="236">
        <f t="shared" ref="H37:Q37" si="7">H30+H33</f>
        <v>98.123208406394085</v>
      </c>
      <c r="I37" s="212">
        <f t="shared" si="7"/>
        <v>154.73775174545517</v>
      </c>
      <c r="J37" s="212">
        <f t="shared" si="7"/>
        <v>154.73775174545517</v>
      </c>
      <c r="K37" s="212">
        <f t="shared" si="7"/>
        <v>162.2033050704552</v>
      </c>
      <c r="L37" s="212">
        <f t="shared" si="7"/>
        <v>162.2033050704552</v>
      </c>
      <c r="M37" s="212">
        <f t="shared" si="7"/>
        <v>284.63017222249641</v>
      </c>
      <c r="N37" s="212">
        <f t="shared" si="7"/>
        <v>401.5851722224964</v>
      </c>
      <c r="O37" s="267">
        <f t="shared" si="7"/>
        <v>157.37019011698789</v>
      </c>
      <c r="P37" s="267">
        <f t="shared" si="7"/>
        <v>223.49018812871108</v>
      </c>
      <c r="Q37" s="267">
        <f t="shared" si="7"/>
        <v>145.52018812871106</v>
      </c>
    </row>
    <row r="38" spans="1:17" ht="18.75" customHeight="1" x14ac:dyDescent="0.25">
      <c r="A38" s="102"/>
      <c r="B38" s="495" t="s">
        <v>257</v>
      </c>
      <c r="C38" s="495"/>
      <c r="D38" s="495"/>
      <c r="E38" s="495"/>
      <c r="F38" s="495"/>
      <c r="G38" s="495"/>
      <c r="H38" s="495"/>
      <c r="I38" s="237"/>
      <c r="J38" s="102"/>
      <c r="K38" s="102"/>
      <c r="L38" s="102"/>
      <c r="M38" s="102"/>
      <c r="N38" s="102"/>
      <c r="O38" s="102"/>
      <c r="P38" s="102"/>
      <c r="Q38" s="102"/>
    </row>
    <row r="39" spans="1:17" ht="15.75" x14ac:dyDescent="0.25">
      <c r="A39" s="496" t="s">
        <v>373</v>
      </c>
      <c r="B39" s="496"/>
      <c r="C39" s="496"/>
      <c r="D39" s="496"/>
      <c r="E39" s="496"/>
      <c r="F39" s="496"/>
      <c r="G39" s="496"/>
      <c r="H39" s="238"/>
      <c r="I39" s="238"/>
      <c r="J39" s="238"/>
      <c r="K39" s="238"/>
      <c r="L39" s="238"/>
      <c r="M39" s="238"/>
      <c r="N39" s="239"/>
      <c r="O39" s="239"/>
      <c r="P39" s="239"/>
      <c r="Q39" s="239"/>
    </row>
    <row r="40" spans="1:17" ht="15.75" x14ac:dyDescent="0.25">
      <c r="A40" s="496" t="s">
        <v>258</v>
      </c>
      <c r="B40" s="496"/>
      <c r="C40" s="496"/>
      <c r="D40" s="496"/>
      <c r="E40" s="496"/>
      <c r="F40" s="496"/>
      <c r="G40" s="496"/>
      <c r="H40" s="496"/>
      <c r="I40" s="238"/>
      <c r="J40" s="238"/>
      <c r="K40" s="238"/>
      <c r="L40" s="238"/>
      <c r="M40" s="238"/>
      <c r="N40" s="239"/>
      <c r="O40" s="239"/>
      <c r="P40" s="239"/>
      <c r="Q40" s="239"/>
    </row>
    <row r="41" spans="1:17" ht="15.75" x14ac:dyDescent="0.25">
      <c r="A41" s="496" t="s">
        <v>259</v>
      </c>
      <c r="B41" s="496"/>
      <c r="C41" s="496"/>
      <c r="D41" s="496"/>
      <c r="E41" s="496"/>
      <c r="F41" s="496"/>
      <c r="G41" s="260"/>
      <c r="H41" s="238"/>
      <c r="I41" s="238"/>
      <c r="J41" s="238"/>
      <c r="K41" s="238"/>
      <c r="L41" s="238"/>
      <c r="M41" s="238"/>
      <c r="N41" s="239"/>
      <c r="O41" s="239"/>
      <c r="P41" s="239"/>
      <c r="Q41" s="239"/>
    </row>
    <row r="42" spans="1:17" ht="15.75" x14ac:dyDescent="0.25">
      <c r="A42" s="496" t="s">
        <v>374</v>
      </c>
      <c r="B42" s="496"/>
      <c r="C42" s="496"/>
      <c r="D42" s="496"/>
      <c r="E42" s="496"/>
      <c r="F42" s="496"/>
      <c r="G42" s="496"/>
      <c r="H42" s="496"/>
      <c r="I42" s="496"/>
      <c r="J42" s="496"/>
      <c r="K42" s="496"/>
      <c r="L42" s="496"/>
      <c r="M42" s="496"/>
      <c r="N42" s="496"/>
      <c r="O42" s="496"/>
      <c r="P42" s="496"/>
      <c r="Q42" s="239"/>
    </row>
    <row r="43" spans="1:17" ht="27.75" customHeight="1" x14ac:dyDescent="0.25">
      <c r="A43" s="496" t="s">
        <v>260</v>
      </c>
      <c r="B43" s="496"/>
      <c r="C43" s="496"/>
      <c r="D43" s="496"/>
      <c r="E43" s="496"/>
      <c r="F43" s="496"/>
      <c r="G43" s="496"/>
      <c r="H43" s="496"/>
      <c r="I43" s="496"/>
      <c r="J43" s="496"/>
      <c r="K43" s="496"/>
      <c r="L43" s="496"/>
      <c r="M43" s="496"/>
      <c r="N43" s="496"/>
      <c r="O43" s="496"/>
      <c r="P43" s="496"/>
      <c r="Q43" s="239"/>
    </row>
    <row r="44" spans="1:17" ht="12" customHeight="1" x14ac:dyDescent="0.25">
      <c r="A44" s="260"/>
      <c r="B44" s="260"/>
      <c r="C44" s="260"/>
      <c r="D44" s="260"/>
      <c r="E44" s="260"/>
      <c r="F44" s="260"/>
      <c r="G44" s="260"/>
      <c r="H44" s="260"/>
      <c r="I44" s="260"/>
      <c r="J44" s="260"/>
      <c r="K44" s="260"/>
      <c r="L44" s="260"/>
      <c r="M44" s="260"/>
      <c r="N44" s="260"/>
      <c r="O44" s="260"/>
      <c r="P44" s="260"/>
      <c r="Q44" s="239"/>
    </row>
    <row r="45" spans="1:17" ht="17.25" customHeight="1" x14ac:dyDescent="0.25">
      <c r="A45" s="368" t="s">
        <v>367</v>
      </c>
      <c r="B45" s="368"/>
      <c r="C45" s="368"/>
      <c r="D45" s="368"/>
      <c r="E45" s="368"/>
      <c r="F45" s="368"/>
      <c r="G45" s="368"/>
      <c r="H45" s="368"/>
      <c r="I45" s="368"/>
      <c r="J45" s="368"/>
      <c r="K45" s="368"/>
      <c r="L45" s="368"/>
      <c r="M45" s="368"/>
      <c r="N45" s="368"/>
      <c r="O45" s="368"/>
      <c r="P45" s="368"/>
      <c r="Q45" s="368"/>
    </row>
    <row r="46" spans="1:17" ht="17.25" customHeight="1" x14ac:dyDescent="0.25">
      <c r="A46" s="256"/>
      <c r="B46" s="256" t="s">
        <v>368</v>
      </c>
      <c r="C46" s="256"/>
      <c r="D46" s="256"/>
      <c r="E46" s="256"/>
      <c r="F46" s="256"/>
      <c r="G46" s="256"/>
      <c r="H46" s="256"/>
      <c r="I46" s="256"/>
      <c r="J46" s="256"/>
      <c r="K46" s="256"/>
      <c r="L46" s="256"/>
      <c r="M46" s="256"/>
      <c r="N46" s="256"/>
      <c r="O46" s="256"/>
      <c r="P46" s="256"/>
      <c r="Q46" s="256"/>
    </row>
    <row r="47" spans="1:17" ht="15.75" x14ac:dyDescent="0.25">
      <c r="A47" s="368" t="s">
        <v>366</v>
      </c>
      <c r="B47" s="368"/>
      <c r="C47" s="368"/>
      <c r="D47" s="368"/>
      <c r="E47" s="368"/>
      <c r="F47" s="368"/>
      <c r="G47" s="368"/>
      <c r="H47" s="368"/>
      <c r="I47" s="368"/>
      <c r="J47" s="368"/>
      <c r="K47" s="368"/>
      <c r="L47" s="368"/>
      <c r="M47" s="368"/>
      <c r="N47" s="368"/>
      <c r="O47" s="368"/>
      <c r="P47" s="368"/>
      <c r="Q47" s="368"/>
    </row>
    <row r="48" spans="1:17" ht="15.75" x14ac:dyDescent="0.25">
      <c r="A48" s="256"/>
      <c r="B48" s="256" t="s">
        <v>365</v>
      </c>
      <c r="C48" s="256"/>
      <c r="D48" s="256"/>
      <c r="E48" s="256"/>
      <c r="F48" s="256"/>
      <c r="G48" s="256"/>
      <c r="H48" s="256"/>
      <c r="I48" s="256"/>
      <c r="J48" s="256"/>
      <c r="K48" s="256"/>
      <c r="L48" s="256"/>
      <c r="M48" s="256"/>
      <c r="N48" s="256"/>
      <c r="O48" s="256"/>
      <c r="P48" s="256"/>
      <c r="Q48" s="256"/>
    </row>
    <row r="49" spans="1:17" ht="15.75" x14ac:dyDescent="0.25">
      <c r="A49" s="496" t="s">
        <v>410</v>
      </c>
      <c r="B49" s="496"/>
      <c r="C49" s="496"/>
      <c r="D49" s="496"/>
      <c r="E49" s="496"/>
      <c r="F49" s="496"/>
      <c r="G49" s="496"/>
      <c r="H49" s="496"/>
      <c r="I49" s="496"/>
      <c r="J49" s="496"/>
      <c r="K49" s="496"/>
      <c r="L49" s="496"/>
      <c r="M49" s="496"/>
      <c r="N49" s="496"/>
      <c r="O49" s="496"/>
      <c r="P49" s="496"/>
      <c r="Q49" s="239"/>
    </row>
    <row r="50" spans="1:17" ht="42" customHeight="1" x14ac:dyDescent="0.25">
      <c r="A50" s="498" t="s">
        <v>261</v>
      </c>
      <c r="B50" s="498"/>
      <c r="C50" s="498"/>
      <c r="D50" s="282">
        <f>'МТЗ-80 с тележкой'!F40</f>
        <v>772.43416019159895</v>
      </c>
      <c r="E50" s="283" t="s">
        <v>262</v>
      </c>
      <c r="F50" s="284">
        <v>60</v>
      </c>
      <c r="G50" s="283" t="s">
        <v>263</v>
      </c>
      <c r="H50" s="284">
        <v>70</v>
      </c>
      <c r="I50" s="283" t="s">
        <v>264</v>
      </c>
      <c r="J50" s="283">
        <f>D50/F50*H50</f>
        <v>901.17318689019874</v>
      </c>
      <c r="K50" s="284" t="s">
        <v>98</v>
      </c>
      <c r="L50" s="496"/>
      <c r="M50" s="496"/>
      <c r="N50" s="496"/>
      <c r="O50" s="285"/>
      <c r="P50" s="285"/>
      <c r="Q50" s="239"/>
    </row>
    <row r="51" spans="1:17" ht="15.75" x14ac:dyDescent="0.25">
      <c r="A51" s="239"/>
      <c r="B51" s="260"/>
      <c r="C51" s="260"/>
      <c r="D51" s="260"/>
      <c r="E51" s="260"/>
      <c r="F51" s="239"/>
      <c r="G51" s="239"/>
      <c r="H51" s="239"/>
      <c r="I51" s="278"/>
      <c r="J51" s="239"/>
      <c r="K51" s="239"/>
      <c r="L51" s="239"/>
      <c r="M51" s="239"/>
      <c r="N51" s="239"/>
      <c r="O51" s="239"/>
      <c r="P51" s="239"/>
      <c r="Q51" s="239"/>
    </row>
    <row r="52" spans="1:17" ht="33" customHeight="1" x14ac:dyDescent="0.25">
      <c r="A52" s="496" t="s">
        <v>355</v>
      </c>
      <c r="B52" s="496"/>
      <c r="C52" s="496"/>
      <c r="D52" s="496"/>
      <c r="E52" s="496"/>
      <c r="F52" s="496"/>
      <c r="G52" s="496"/>
      <c r="H52" s="496"/>
      <c r="I52" s="496"/>
      <c r="J52" s="496"/>
      <c r="K52" s="496"/>
      <c r="L52" s="496"/>
      <c r="M52" s="496"/>
      <c r="N52" s="496"/>
      <c r="O52" s="496"/>
      <c r="P52" s="496"/>
      <c r="Q52" s="239"/>
    </row>
    <row r="53" spans="1:17" ht="15.75" x14ac:dyDescent="0.25">
      <c r="A53" s="102"/>
      <c r="B53" s="260"/>
      <c r="C53" s="260"/>
      <c r="D53" s="260"/>
      <c r="E53" s="260"/>
      <c r="F53" s="102"/>
      <c r="G53" s="102"/>
      <c r="H53" s="240"/>
      <c r="I53" s="240"/>
      <c r="J53" s="240"/>
      <c r="K53" s="240"/>
      <c r="L53" s="240"/>
      <c r="M53" s="240"/>
      <c r="N53" s="240"/>
      <c r="O53" s="240"/>
      <c r="P53" s="240"/>
      <c r="Q53" s="239"/>
    </row>
    <row r="54" spans="1:17" ht="15.75" x14ac:dyDescent="0.25">
      <c r="A54" s="239"/>
      <c r="B54" s="260"/>
      <c r="C54" s="260"/>
      <c r="D54" s="260"/>
      <c r="E54" s="260"/>
      <c r="F54" s="239"/>
      <c r="G54" s="239"/>
      <c r="H54" s="239"/>
      <c r="I54" s="278"/>
      <c r="J54" s="239"/>
      <c r="K54" s="239"/>
      <c r="L54" s="239"/>
      <c r="M54" s="239"/>
      <c r="N54" s="239"/>
      <c r="O54" s="239"/>
      <c r="P54" s="239"/>
      <c r="Q54" s="239"/>
    </row>
    <row r="55" spans="1:17" ht="15.75" x14ac:dyDescent="0.25">
      <c r="A55" s="286"/>
      <c r="B55" s="286"/>
      <c r="C55" s="499" t="s">
        <v>55</v>
      </c>
      <c r="D55" s="499"/>
      <c r="E55" s="499"/>
      <c r="F55" s="499"/>
      <c r="G55" s="80"/>
      <c r="H55" s="286"/>
      <c r="I55" s="500" t="s">
        <v>57</v>
      </c>
      <c r="J55" s="500"/>
      <c r="K55" s="500"/>
      <c r="L55" s="286"/>
      <c r="M55" s="286"/>
      <c r="N55" s="286"/>
      <c r="O55" s="286"/>
      <c r="P55" s="286"/>
      <c r="Q55" s="286"/>
    </row>
    <row r="56" spans="1:17" ht="15.75" x14ac:dyDescent="0.25">
      <c r="A56" s="286"/>
      <c r="B56" s="286"/>
      <c r="C56" s="497" t="s">
        <v>56</v>
      </c>
      <c r="D56" s="497"/>
      <c r="E56" s="497"/>
      <c r="F56" s="497"/>
      <c r="G56" s="287"/>
      <c r="H56" s="286"/>
      <c r="I56" s="286"/>
      <c r="J56" s="286"/>
      <c r="K56" s="286"/>
      <c r="L56" s="286"/>
      <c r="M56" s="286"/>
      <c r="N56" s="286"/>
      <c r="O56" s="286"/>
      <c r="P56" s="286"/>
      <c r="Q56" s="286"/>
    </row>
  </sheetData>
  <mergeCells count="85">
    <mergeCell ref="C56:F56"/>
    <mergeCell ref="A49:P49"/>
    <mergeCell ref="A50:C50"/>
    <mergeCell ref="L50:N50"/>
    <mergeCell ref="A52:P52"/>
    <mergeCell ref="C55:F55"/>
    <mergeCell ref="I55:K55"/>
    <mergeCell ref="A47:Q47"/>
    <mergeCell ref="B36:C36"/>
    <mergeCell ref="E36:G36"/>
    <mergeCell ref="B37:C37"/>
    <mergeCell ref="E37:G37"/>
    <mergeCell ref="B38:H38"/>
    <mergeCell ref="A39:G39"/>
    <mergeCell ref="A40:H40"/>
    <mergeCell ref="A41:F41"/>
    <mergeCell ref="A42:P42"/>
    <mergeCell ref="A43:P43"/>
    <mergeCell ref="A45:Q45"/>
    <mergeCell ref="M34:Q34"/>
    <mergeCell ref="B32:C32"/>
    <mergeCell ref="E32:G32"/>
    <mergeCell ref="B33:C33"/>
    <mergeCell ref="E33:G33"/>
    <mergeCell ref="H34:H35"/>
    <mergeCell ref="I34:I35"/>
    <mergeCell ref="J34:J35"/>
    <mergeCell ref="K34:K35"/>
    <mergeCell ref="L34:L35"/>
    <mergeCell ref="A34:A35"/>
    <mergeCell ref="B34:C35"/>
    <mergeCell ref="D34:D35"/>
    <mergeCell ref="E34:G35"/>
    <mergeCell ref="B29:C29"/>
    <mergeCell ref="E29:G29"/>
    <mergeCell ref="B30:C30"/>
    <mergeCell ref="E30:G30"/>
    <mergeCell ref="B31:C31"/>
    <mergeCell ref="E31:G31"/>
    <mergeCell ref="B26:C26"/>
    <mergeCell ref="E26:G26"/>
    <mergeCell ref="B27:C27"/>
    <mergeCell ref="F27:G27"/>
    <mergeCell ref="B28:C28"/>
    <mergeCell ref="F28:G28"/>
    <mergeCell ref="B24:C24"/>
    <mergeCell ref="E24:G24"/>
    <mergeCell ref="B25:C25"/>
    <mergeCell ref="E25:G25"/>
    <mergeCell ref="B21:C21"/>
    <mergeCell ref="E21:G21"/>
    <mergeCell ref="B22:C22"/>
    <mergeCell ref="E22:G22"/>
    <mergeCell ref="B23:C23"/>
    <mergeCell ref="E23:G23"/>
    <mergeCell ref="B9:C9"/>
    <mergeCell ref="H7:H8"/>
    <mergeCell ref="I7:I8"/>
    <mergeCell ref="B20:C20"/>
    <mergeCell ref="E20:G20"/>
    <mergeCell ref="B19:C19"/>
    <mergeCell ref="B18:C18"/>
    <mergeCell ref="B10:C10"/>
    <mergeCell ref="E10:G10"/>
    <mergeCell ref="B11:C11"/>
    <mergeCell ref="E11:G11"/>
    <mergeCell ref="B12:C12"/>
    <mergeCell ref="E12:G12"/>
    <mergeCell ref="B13:C13"/>
    <mergeCell ref="B15:C15"/>
    <mergeCell ref="E15:G15"/>
    <mergeCell ref="A7:A8"/>
    <mergeCell ref="B7:C8"/>
    <mergeCell ref="D7:D8"/>
    <mergeCell ref="E7:G8"/>
    <mergeCell ref="A6:P6"/>
    <mergeCell ref="J7:J8"/>
    <mergeCell ref="K7:K8"/>
    <mergeCell ref="L7:L8"/>
    <mergeCell ref="M7:Q7"/>
    <mergeCell ref="L1:Q1"/>
    <mergeCell ref="K2:Q2"/>
    <mergeCell ref="K3:Q3"/>
    <mergeCell ref="K4:Q4"/>
    <mergeCell ref="A5:P5"/>
  </mergeCells>
  <pageMargins left="0.7" right="0.7" top="0.75" bottom="0.75" header="0.3" footer="0.3"/>
  <pageSetup paperSize="9" orientation="landscape" r:id="rId1"/>
  <rowBreaks count="1" manualBreakCount="1">
    <brk id="33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I41"/>
  <sheetViews>
    <sheetView workbookViewId="0">
      <selection activeCell="H34" sqref="H34"/>
    </sheetView>
  </sheetViews>
  <sheetFormatPr defaultRowHeight="15" x14ac:dyDescent="0.25"/>
  <cols>
    <col min="2" max="2" width="21.140625" customWidth="1"/>
    <col min="5" max="5" width="7.140625" customWidth="1"/>
    <col min="7" max="7" width="7" customWidth="1"/>
    <col min="8" max="9" width="12" customWidth="1"/>
  </cols>
  <sheetData>
    <row r="1" spans="1:9" ht="15.75" customHeight="1" x14ac:dyDescent="0.25">
      <c r="A1" s="474" t="s">
        <v>162</v>
      </c>
      <c r="B1" s="474"/>
      <c r="C1" s="474"/>
      <c r="D1" s="474"/>
      <c r="E1" s="474"/>
      <c r="F1" s="474"/>
      <c r="G1" s="474"/>
      <c r="H1" s="474"/>
      <c r="I1" s="474"/>
    </row>
    <row r="2" spans="1:9" ht="15.75" customHeight="1" x14ac:dyDescent="0.25">
      <c r="A2" s="474" t="s">
        <v>60</v>
      </c>
      <c r="B2" s="474"/>
      <c r="C2" s="474"/>
      <c r="D2" s="474"/>
      <c r="E2" s="474"/>
      <c r="F2" s="474"/>
      <c r="G2" s="474"/>
      <c r="H2" s="474"/>
      <c r="I2" s="474"/>
    </row>
    <row r="3" spans="1:9" ht="15.75" customHeight="1" x14ac:dyDescent="0.25">
      <c r="A3" s="474" t="s">
        <v>376</v>
      </c>
      <c r="B3" s="474"/>
      <c r="C3" s="474"/>
      <c r="D3" s="474"/>
      <c r="E3" s="474"/>
      <c r="F3" s="474"/>
      <c r="G3" s="474"/>
      <c r="H3" s="474"/>
      <c r="I3" s="474"/>
    </row>
    <row r="4" spans="1:9" ht="15.75" customHeight="1" x14ac:dyDescent="0.25">
      <c r="A4" s="474" t="s">
        <v>375</v>
      </c>
      <c r="B4" s="474"/>
      <c r="C4" s="474"/>
      <c r="D4" s="474"/>
      <c r="E4" s="474"/>
      <c r="F4" s="474"/>
      <c r="G4" s="474"/>
      <c r="H4" s="474"/>
      <c r="I4" s="474"/>
    </row>
    <row r="5" spans="1:9" ht="15.75" x14ac:dyDescent="0.25">
      <c r="A5" s="457" t="s">
        <v>93</v>
      </c>
      <c r="B5" s="457"/>
      <c r="C5" s="457"/>
      <c r="D5" s="457"/>
      <c r="E5" s="457"/>
      <c r="F5" s="457"/>
      <c r="G5" s="457"/>
      <c r="H5" s="457"/>
      <c r="I5" s="457"/>
    </row>
    <row r="6" spans="1:9" ht="15.75" x14ac:dyDescent="0.25">
      <c r="A6" s="458" t="s">
        <v>267</v>
      </c>
      <c r="B6" s="458"/>
      <c r="C6" s="458"/>
      <c r="D6" s="458"/>
      <c r="E6" s="458"/>
      <c r="F6" s="458"/>
      <c r="G6" s="458"/>
      <c r="H6" s="458"/>
      <c r="I6" s="458"/>
    </row>
    <row r="7" spans="1:9" x14ac:dyDescent="0.25">
      <c r="A7" s="448" t="s">
        <v>13</v>
      </c>
      <c r="B7" s="450" t="s">
        <v>95</v>
      </c>
      <c r="C7" s="450"/>
      <c r="D7" s="450" t="s">
        <v>230</v>
      </c>
      <c r="E7" s="451" t="s">
        <v>231</v>
      </c>
      <c r="F7" s="452"/>
      <c r="G7" s="453"/>
      <c r="H7" s="450" t="s">
        <v>409</v>
      </c>
      <c r="I7" s="450" t="s">
        <v>358</v>
      </c>
    </row>
    <row r="8" spans="1:9" x14ac:dyDescent="0.25">
      <c r="A8" s="449"/>
      <c r="B8" s="450"/>
      <c r="C8" s="450"/>
      <c r="D8" s="450"/>
      <c r="E8" s="454"/>
      <c r="F8" s="455"/>
      <c r="G8" s="456"/>
      <c r="H8" s="450"/>
      <c r="I8" s="450"/>
    </row>
    <row r="9" spans="1:9" x14ac:dyDescent="0.25">
      <c r="A9" s="88">
        <v>1</v>
      </c>
      <c r="B9" s="434" t="s">
        <v>104</v>
      </c>
      <c r="C9" s="438"/>
      <c r="D9" s="210" t="s">
        <v>98</v>
      </c>
      <c r="E9" s="211">
        <v>130.1</v>
      </c>
      <c r="F9" s="101" t="s">
        <v>238</v>
      </c>
      <c r="G9" s="184"/>
      <c r="H9" s="212">
        <f>E9/35</f>
        <v>3.7171428571428571</v>
      </c>
      <c r="I9" s="212">
        <v>130.1</v>
      </c>
    </row>
    <row r="10" spans="1:9" x14ac:dyDescent="0.25">
      <c r="A10" s="213"/>
      <c r="B10" s="435"/>
      <c r="C10" s="437"/>
      <c r="D10" s="213"/>
      <c r="E10" s="435"/>
      <c r="F10" s="436"/>
      <c r="G10" s="437"/>
      <c r="H10" s="214"/>
      <c r="I10" s="214"/>
    </row>
    <row r="11" spans="1:9" x14ac:dyDescent="0.25">
      <c r="A11" s="88"/>
      <c r="B11" s="233"/>
      <c r="C11" s="235"/>
      <c r="D11" s="213"/>
      <c r="E11" s="233"/>
      <c r="F11" s="234"/>
      <c r="G11" s="235"/>
      <c r="H11" s="214"/>
      <c r="I11" s="212"/>
    </row>
    <row r="12" spans="1:9" x14ac:dyDescent="0.25">
      <c r="A12" s="88">
        <v>2</v>
      </c>
      <c r="B12" s="434" t="s">
        <v>105</v>
      </c>
      <c r="C12" s="438"/>
      <c r="D12" s="210" t="s">
        <v>98</v>
      </c>
      <c r="E12" s="445">
        <v>0.30199999999999999</v>
      </c>
      <c r="F12" s="446"/>
      <c r="G12" s="447"/>
      <c r="H12" s="212">
        <f>H9*E12</f>
        <v>1.1225771428571427</v>
      </c>
      <c r="I12" s="212">
        <f>I9*E12</f>
        <v>39.290199999999999</v>
      </c>
    </row>
    <row r="13" spans="1:9" x14ac:dyDescent="0.25">
      <c r="A13" s="88"/>
      <c r="B13" s="439"/>
      <c r="C13" s="441"/>
      <c r="D13" s="215"/>
      <c r="E13" s="439"/>
      <c r="F13" s="440"/>
      <c r="G13" s="441"/>
      <c r="H13" s="214"/>
      <c r="I13" s="212"/>
    </row>
    <row r="14" spans="1:9" x14ac:dyDescent="0.25">
      <c r="A14" s="88">
        <v>3</v>
      </c>
      <c r="B14" s="434" t="s">
        <v>106</v>
      </c>
      <c r="C14" s="438"/>
      <c r="D14" s="210" t="s">
        <v>98</v>
      </c>
      <c r="E14" s="439"/>
      <c r="F14" s="440"/>
      <c r="G14" s="441"/>
      <c r="H14" s="212">
        <f>'Пробег КО-829'!F45/1.3</f>
        <v>42.080197776211655</v>
      </c>
      <c r="I14" s="212">
        <f>'Пробег КО-829'!G47</f>
        <v>273.52128554537575</v>
      </c>
    </row>
    <row r="15" spans="1:9" x14ac:dyDescent="0.25">
      <c r="A15" s="88"/>
      <c r="B15" s="439"/>
      <c r="C15" s="441"/>
      <c r="D15" s="215"/>
      <c r="E15" s="439"/>
      <c r="F15" s="440"/>
      <c r="G15" s="441"/>
      <c r="H15" s="214"/>
      <c r="I15" s="212"/>
    </row>
    <row r="16" spans="1:9" x14ac:dyDescent="0.25">
      <c r="A16" s="88">
        <v>4</v>
      </c>
      <c r="B16" s="434" t="s">
        <v>108</v>
      </c>
      <c r="C16" s="438"/>
      <c r="D16" s="210" t="s">
        <v>98</v>
      </c>
      <c r="E16" s="439"/>
      <c r="F16" s="440"/>
      <c r="G16" s="440"/>
      <c r="H16" s="212">
        <f>'Пробег КО-829'!H42/1.3</f>
        <v>19.824643558540966</v>
      </c>
      <c r="I16" s="212">
        <f>'Пробег КО-829'!I47</f>
        <v>257.72036626103261</v>
      </c>
    </row>
    <row r="17" spans="1:9" x14ac:dyDescent="0.25">
      <c r="A17" s="88"/>
      <c r="B17" s="439"/>
      <c r="C17" s="441"/>
      <c r="D17" s="215"/>
      <c r="E17" s="440"/>
      <c r="F17" s="440"/>
      <c r="G17" s="440"/>
      <c r="H17" s="214"/>
      <c r="I17" s="214"/>
    </row>
    <row r="18" spans="1:9" x14ac:dyDescent="0.25">
      <c r="A18" s="88">
        <v>5</v>
      </c>
      <c r="B18" s="434" t="s">
        <v>109</v>
      </c>
      <c r="C18" s="438"/>
      <c r="D18" s="213" t="s">
        <v>269</v>
      </c>
      <c r="E18" s="216"/>
      <c r="F18" s="217"/>
      <c r="G18" s="217"/>
      <c r="H18" s="218">
        <v>0.34</v>
      </c>
      <c r="I18" s="218">
        <v>10</v>
      </c>
    </row>
    <row r="19" spans="1:9" x14ac:dyDescent="0.25">
      <c r="A19" s="88"/>
      <c r="B19" s="501" t="s">
        <v>360</v>
      </c>
      <c r="C19" s="502"/>
      <c r="D19" s="210" t="s">
        <v>98</v>
      </c>
      <c r="E19" s="263">
        <v>36.67</v>
      </c>
      <c r="F19" s="217" t="s">
        <v>98</v>
      </c>
      <c r="G19" s="221"/>
      <c r="H19" s="212">
        <f>H18*$E$19</f>
        <v>12.467800000000002</v>
      </c>
      <c r="I19" s="212">
        <f>I18*$E$19</f>
        <v>366.70000000000005</v>
      </c>
    </row>
    <row r="20" spans="1:9" x14ac:dyDescent="0.25">
      <c r="A20" s="88">
        <v>6</v>
      </c>
      <c r="B20" s="434" t="s">
        <v>112</v>
      </c>
      <c r="C20" s="438"/>
      <c r="D20" s="210"/>
      <c r="E20" s="440"/>
      <c r="F20" s="440"/>
      <c r="G20" s="440"/>
      <c r="H20" s="214"/>
      <c r="I20" s="214"/>
    </row>
    <row r="21" spans="1:9" ht="25.5" x14ac:dyDescent="0.25">
      <c r="A21" s="88"/>
      <c r="B21" s="431" t="s">
        <v>113</v>
      </c>
      <c r="C21" s="432"/>
      <c r="D21" s="210" t="s">
        <v>98</v>
      </c>
      <c r="E21" s="222">
        <v>2.8000000000000001E-2</v>
      </c>
      <c r="F21" s="223" t="s">
        <v>240</v>
      </c>
      <c r="G21" s="292">
        <v>186.99</v>
      </c>
      <c r="H21" s="214">
        <f>E21*$H$18*G21</f>
        <v>1.7801448000000002</v>
      </c>
      <c r="I21" s="214">
        <f>E21*$I$18*G21</f>
        <v>52.357200000000006</v>
      </c>
    </row>
    <row r="22" spans="1:9" ht="25.5" x14ac:dyDescent="0.25">
      <c r="A22" s="88"/>
      <c r="B22" s="431" t="s">
        <v>115</v>
      </c>
      <c r="C22" s="432"/>
      <c r="D22" s="210" t="s">
        <v>98</v>
      </c>
      <c r="E22" s="222">
        <v>4.0000000000000001E-3</v>
      </c>
      <c r="F22" s="224" t="s">
        <v>116</v>
      </c>
      <c r="G22" s="292">
        <v>107.82</v>
      </c>
      <c r="H22" s="214">
        <f>E22*$H$18*G22</f>
        <v>0.14663519999999999</v>
      </c>
      <c r="I22" s="214">
        <f>E22*$I$18*G22</f>
        <v>4.3128000000000002</v>
      </c>
    </row>
    <row r="23" spans="1:9" ht="25.5" x14ac:dyDescent="0.25">
      <c r="A23" s="88"/>
      <c r="B23" s="431" t="s">
        <v>117</v>
      </c>
      <c r="C23" s="432"/>
      <c r="D23" s="210" t="s">
        <v>98</v>
      </c>
      <c r="E23" s="222">
        <v>1.4999999999999999E-2</v>
      </c>
      <c r="F23" s="224" t="s">
        <v>116</v>
      </c>
      <c r="G23" s="292">
        <v>75.260000000000005</v>
      </c>
      <c r="H23" s="214">
        <f>E23*$H$18*G23</f>
        <v>0.38382600000000006</v>
      </c>
      <c r="I23" s="214">
        <f>E23*$I$18*G23</f>
        <v>11.289</v>
      </c>
    </row>
    <row r="24" spans="1:9" ht="25.5" x14ac:dyDescent="0.25">
      <c r="A24" s="88"/>
      <c r="B24" s="431" t="s">
        <v>118</v>
      </c>
      <c r="C24" s="432"/>
      <c r="D24" s="210" t="s">
        <v>98</v>
      </c>
      <c r="E24" s="222">
        <v>3.5000000000000003E-2</v>
      </c>
      <c r="F24" s="224" t="s">
        <v>116</v>
      </c>
      <c r="G24" s="292">
        <v>132.04</v>
      </c>
      <c r="H24" s="214">
        <f>E24*$H$18*G24</f>
        <v>1.5712760000000003</v>
      </c>
      <c r="I24" s="214">
        <f>E24*$I$18*G24</f>
        <v>46.213999999999999</v>
      </c>
    </row>
    <row r="25" spans="1:9" x14ac:dyDescent="0.25">
      <c r="A25" s="88"/>
      <c r="B25" s="431" t="s">
        <v>119</v>
      </c>
      <c r="C25" s="432"/>
      <c r="D25" s="210"/>
      <c r="E25" s="435"/>
      <c r="F25" s="436"/>
      <c r="G25" s="437"/>
      <c r="H25" s="212">
        <f>SUM(H21:H24)</f>
        <v>3.8818820000000009</v>
      </c>
      <c r="I25" s="212">
        <f>SUM(I21:I24)</f>
        <v>114.173</v>
      </c>
    </row>
    <row r="26" spans="1:9" x14ac:dyDescent="0.25">
      <c r="A26" s="88"/>
      <c r="B26" s="435"/>
      <c r="C26" s="437"/>
      <c r="D26" s="215"/>
      <c r="E26" s="436"/>
      <c r="F26" s="436"/>
      <c r="G26" s="436"/>
      <c r="H26" s="214"/>
      <c r="I26" s="214"/>
    </row>
    <row r="27" spans="1:9" x14ac:dyDescent="0.25">
      <c r="A27" s="88">
        <v>9</v>
      </c>
      <c r="B27" s="434" t="s">
        <v>120</v>
      </c>
      <c r="C27" s="438"/>
      <c r="D27" s="215"/>
      <c r="E27" s="445">
        <v>0.6</v>
      </c>
      <c r="F27" s="446"/>
      <c r="G27" s="447"/>
      <c r="H27" s="212">
        <f>H9*E27</f>
        <v>2.230285714285714</v>
      </c>
      <c r="I27" s="212">
        <f>I9*E27</f>
        <v>78.059999999999988</v>
      </c>
    </row>
    <row r="28" spans="1:9" x14ac:dyDescent="0.25">
      <c r="A28" s="88"/>
      <c r="B28" s="228"/>
      <c r="C28" s="229"/>
      <c r="D28" s="215"/>
      <c r="E28" s="230"/>
      <c r="F28" s="223"/>
      <c r="G28" s="231"/>
      <c r="H28" s="212"/>
      <c r="I28" s="212"/>
    </row>
    <row r="29" spans="1:9" x14ac:dyDescent="0.25">
      <c r="A29" s="88">
        <v>10</v>
      </c>
      <c r="B29" s="434" t="s">
        <v>121</v>
      </c>
      <c r="C29" s="438"/>
      <c r="D29" s="232"/>
      <c r="E29" s="357"/>
      <c r="F29" s="357"/>
      <c r="G29" s="357"/>
      <c r="H29" s="212">
        <f>H9+H12+H14+H16+H19+H25+H27</f>
        <v>85.324529049038333</v>
      </c>
      <c r="I29" s="212">
        <f>I9+I12+I14+I16+I19+I25+I27+0.01</f>
        <v>1259.5748518064083</v>
      </c>
    </row>
    <row r="30" spans="1:9" x14ac:dyDescent="0.25">
      <c r="A30" s="88"/>
      <c r="B30" s="228"/>
      <c r="C30" s="229"/>
      <c r="D30" s="232"/>
      <c r="E30" s="233"/>
      <c r="F30" s="234"/>
      <c r="G30" s="235"/>
      <c r="H30" s="212"/>
      <c r="I30" s="212"/>
    </row>
    <row r="31" spans="1:9" x14ac:dyDescent="0.25">
      <c r="A31" s="88">
        <v>11</v>
      </c>
      <c r="B31" s="434" t="s">
        <v>122</v>
      </c>
      <c r="C31" s="438"/>
      <c r="D31" s="232"/>
      <c r="E31" s="439"/>
      <c r="F31" s="440"/>
      <c r="G31" s="441"/>
      <c r="H31" s="212"/>
      <c r="I31" s="212"/>
    </row>
    <row r="32" spans="1:9" ht="27" customHeight="1" x14ac:dyDescent="0.25">
      <c r="A32" s="213"/>
      <c r="B32" s="431" t="s">
        <v>123</v>
      </c>
      <c r="C32" s="432"/>
      <c r="D32" s="215" t="s">
        <v>98</v>
      </c>
      <c r="E32" s="442">
        <v>0.1</v>
      </c>
      <c r="F32" s="443"/>
      <c r="G32" s="444"/>
      <c r="H32" s="214">
        <f>H29*E32</f>
        <v>8.5324529049038329</v>
      </c>
      <c r="I32" s="214">
        <f>I29*$E$32</f>
        <v>125.95748518064084</v>
      </c>
    </row>
    <row r="33" spans="1:9" ht="27" customHeight="1" x14ac:dyDescent="0.25">
      <c r="A33" s="213"/>
      <c r="B33" s="431" t="s">
        <v>124</v>
      </c>
      <c r="C33" s="432"/>
      <c r="D33" s="215" t="s">
        <v>98</v>
      </c>
      <c r="E33" s="442">
        <v>0.15</v>
      </c>
      <c r="F33" s="443"/>
      <c r="G33" s="444"/>
      <c r="H33" s="214">
        <f>H29*E33</f>
        <v>12.79867935735575</v>
      </c>
      <c r="I33" s="214">
        <f>I29*$E$33</f>
        <v>188.93622777096124</v>
      </c>
    </row>
    <row r="34" spans="1:9" ht="27" customHeight="1" x14ac:dyDescent="0.25">
      <c r="A34" s="213"/>
      <c r="B34" s="431" t="s">
        <v>123</v>
      </c>
      <c r="C34" s="432"/>
      <c r="D34" s="215" t="s">
        <v>98</v>
      </c>
      <c r="E34" s="435"/>
      <c r="F34" s="436"/>
      <c r="G34" s="437"/>
      <c r="H34" s="212">
        <f>H29+H32</f>
        <v>93.856981953942167</v>
      </c>
      <c r="I34" s="212">
        <f>I29+I32</f>
        <v>1385.5323369870491</v>
      </c>
    </row>
    <row r="35" spans="1:9" ht="27" customHeight="1" x14ac:dyDescent="0.25">
      <c r="A35" s="213"/>
      <c r="B35" s="431" t="s">
        <v>124</v>
      </c>
      <c r="C35" s="432"/>
      <c r="D35" s="215" t="s">
        <v>98</v>
      </c>
      <c r="E35" s="435"/>
      <c r="F35" s="436"/>
      <c r="G35" s="437"/>
      <c r="H35" s="212">
        <f>H29+H33+0.01</f>
        <v>98.13320840639409</v>
      </c>
      <c r="I35" s="212">
        <f>I29+I33</f>
        <v>1448.5110795773696</v>
      </c>
    </row>
    <row r="36" spans="1:9" x14ac:dyDescent="0.25">
      <c r="A36" s="102"/>
      <c r="B36" s="103"/>
      <c r="C36" s="103"/>
      <c r="D36" s="242"/>
      <c r="E36" s="102"/>
      <c r="F36" s="102"/>
      <c r="G36" s="102"/>
      <c r="H36" s="237"/>
      <c r="I36" s="237"/>
    </row>
    <row r="37" spans="1:9" ht="58.5" customHeight="1" x14ac:dyDescent="0.25">
      <c r="A37" s="504" t="s">
        <v>359</v>
      </c>
      <c r="B37" s="504"/>
      <c r="C37" s="504"/>
      <c r="D37" s="504"/>
      <c r="E37" s="504"/>
      <c r="F37" s="504"/>
      <c r="G37" s="504"/>
      <c r="H37" s="504"/>
      <c r="I37" s="504"/>
    </row>
    <row r="38" spans="1:9" ht="15.75" x14ac:dyDescent="0.25">
      <c r="A38" s="102"/>
      <c r="B38" s="46"/>
      <c r="C38" s="46"/>
      <c r="D38" s="46"/>
      <c r="E38" s="46"/>
      <c r="F38" s="102"/>
      <c r="G38" s="102"/>
      <c r="H38" s="240"/>
      <c r="I38" s="240"/>
    </row>
    <row r="39" spans="1:9" ht="15.75" x14ac:dyDescent="0.25">
      <c r="A39" s="102"/>
      <c r="B39" s="46"/>
      <c r="C39" s="46"/>
      <c r="D39" s="46"/>
      <c r="E39" s="46"/>
      <c r="F39" s="102"/>
      <c r="G39" s="102"/>
      <c r="H39" s="240"/>
      <c r="I39" s="240"/>
    </row>
    <row r="40" spans="1:9" ht="15.75" x14ac:dyDescent="0.25">
      <c r="A40" s="45"/>
      <c r="B40" s="385" t="s">
        <v>270</v>
      </c>
      <c r="C40" s="385"/>
      <c r="D40" s="385"/>
      <c r="E40" s="83"/>
      <c r="F40" s="433" t="s">
        <v>57</v>
      </c>
      <c r="G40" s="433"/>
      <c r="H40" s="433"/>
      <c r="I40" s="45"/>
    </row>
    <row r="41" spans="1:9" ht="15.75" x14ac:dyDescent="0.25">
      <c r="A41" s="31"/>
      <c r="B41" s="503" t="s">
        <v>56</v>
      </c>
      <c r="C41" s="503"/>
      <c r="D41" s="503"/>
      <c r="E41" s="241"/>
      <c r="F41" s="241"/>
      <c r="G41" s="83"/>
      <c r="H41" s="31"/>
      <c r="I41" s="31"/>
    </row>
  </sheetData>
  <mergeCells count="57">
    <mergeCell ref="A1:I1"/>
    <mergeCell ref="A2:I2"/>
    <mergeCell ref="A3:I3"/>
    <mergeCell ref="A4:I4"/>
    <mergeCell ref="B41:D41"/>
    <mergeCell ref="B34:C34"/>
    <mergeCell ref="E34:G34"/>
    <mergeCell ref="B35:C35"/>
    <mergeCell ref="E35:G35"/>
    <mergeCell ref="A37:I37"/>
    <mergeCell ref="B40:D40"/>
    <mergeCell ref="F40:H40"/>
    <mergeCell ref="B31:C31"/>
    <mergeCell ref="E31:G31"/>
    <mergeCell ref="B32:C32"/>
    <mergeCell ref="E32:G32"/>
    <mergeCell ref="B33:C33"/>
    <mergeCell ref="E33:G33"/>
    <mergeCell ref="B26:C26"/>
    <mergeCell ref="E26:G26"/>
    <mergeCell ref="B27:C27"/>
    <mergeCell ref="E27:G27"/>
    <mergeCell ref="B29:C29"/>
    <mergeCell ref="E29:G29"/>
    <mergeCell ref="E25:G25"/>
    <mergeCell ref="B17:C17"/>
    <mergeCell ref="E17:G17"/>
    <mergeCell ref="B18:C18"/>
    <mergeCell ref="B19:C19"/>
    <mergeCell ref="B20:C20"/>
    <mergeCell ref="E20:G20"/>
    <mergeCell ref="B21:C21"/>
    <mergeCell ref="B22:C22"/>
    <mergeCell ref="B23:C23"/>
    <mergeCell ref="B24:C24"/>
    <mergeCell ref="B25:C25"/>
    <mergeCell ref="B14:C14"/>
    <mergeCell ref="E14:G14"/>
    <mergeCell ref="B15:C15"/>
    <mergeCell ref="E15:G15"/>
    <mergeCell ref="B16:C16"/>
    <mergeCell ref="E16:G16"/>
    <mergeCell ref="H7:H8"/>
    <mergeCell ref="I7:I8"/>
    <mergeCell ref="A5:I5"/>
    <mergeCell ref="A6:I6"/>
    <mergeCell ref="B13:C13"/>
    <mergeCell ref="E13:G13"/>
    <mergeCell ref="A7:A8"/>
    <mergeCell ref="B7:C8"/>
    <mergeCell ref="D7:D8"/>
    <mergeCell ref="E7:G8"/>
    <mergeCell ref="B9:C9"/>
    <mergeCell ref="B10:C10"/>
    <mergeCell ref="E10:G10"/>
    <mergeCell ref="B12:C12"/>
    <mergeCell ref="E12:G12"/>
  </mergeCells>
  <pageMargins left="0.25" right="0.25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I41"/>
  <sheetViews>
    <sheetView topLeftCell="A7" workbookViewId="0">
      <selection activeCell="N21" sqref="N21"/>
    </sheetView>
  </sheetViews>
  <sheetFormatPr defaultRowHeight="15" x14ac:dyDescent="0.25"/>
  <cols>
    <col min="2" max="2" width="21.140625" customWidth="1"/>
    <col min="5" max="5" width="7.140625" customWidth="1"/>
    <col min="7" max="7" width="7" customWidth="1"/>
    <col min="8" max="9" width="12" customWidth="1"/>
  </cols>
  <sheetData>
    <row r="1" spans="1:9" ht="15.75" customHeight="1" x14ac:dyDescent="0.25">
      <c r="A1" s="474" t="s">
        <v>162</v>
      </c>
      <c r="B1" s="474"/>
      <c r="C1" s="474"/>
      <c r="D1" s="474"/>
      <c r="E1" s="474"/>
      <c r="F1" s="474"/>
      <c r="G1" s="474"/>
      <c r="H1" s="474"/>
      <c r="I1" s="474"/>
    </row>
    <row r="2" spans="1:9" ht="15.75" customHeight="1" x14ac:dyDescent="0.25">
      <c r="A2" s="474" t="s">
        <v>60</v>
      </c>
      <c r="B2" s="474"/>
      <c r="C2" s="474"/>
      <c r="D2" s="474"/>
      <c r="E2" s="474"/>
      <c r="F2" s="474"/>
      <c r="G2" s="474"/>
      <c r="H2" s="474"/>
      <c r="I2" s="474"/>
    </row>
    <row r="3" spans="1:9" ht="15.75" customHeight="1" x14ac:dyDescent="0.25">
      <c r="A3" s="474" t="s">
        <v>376</v>
      </c>
      <c r="B3" s="474"/>
      <c r="C3" s="474"/>
      <c r="D3" s="474"/>
      <c r="E3" s="474"/>
      <c r="F3" s="474"/>
      <c r="G3" s="474"/>
      <c r="H3" s="474"/>
      <c r="I3" s="474"/>
    </row>
    <row r="4" spans="1:9" ht="15.75" customHeight="1" x14ac:dyDescent="0.25">
      <c r="A4" s="474" t="s">
        <v>375</v>
      </c>
      <c r="B4" s="474"/>
      <c r="C4" s="474"/>
      <c r="D4" s="474"/>
      <c r="E4" s="474"/>
      <c r="F4" s="474"/>
      <c r="G4" s="474"/>
      <c r="H4" s="474"/>
      <c r="I4" s="474"/>
    </row>
    <row r="5" spans="1:9" ht="15.75" x14ac:dyDescent="0.25">
      <c r="A5" s="457" t="s">
        <v>93</v>
      </c>
      <c r="B5" s="457"/>
      <c r="C5" s="457"/>
      <c r="D5" s="457"/>
      <c r="E5" s="457"/>
      <c r="F5" s="457"/>
      <c r="G5" s="457"/>
      <c r="H5" s="457"/>
      <c r="I5" s="457"/>
    </row>
    <row r="6" spans="1:9" ht="15.75" x14ac:dyDescent="0.25">
      <c r="A6" s="458" t="s">
        <v>271</v>
      </c>
      <c r="B6" s="458"/>
      <c r="C6" s="458"/>
      <c r="D6" s="458"/>
      <c r="E6" s="458"/>
      <c r="F6" s="458"/>
      <c r="G6" s="458"/>
      <c r="H6" s="458"/>
      <c r="I6" s="458"/>
    </row>
    <row r="7" spans="1:9" x14ac:dyDescent="0.25">
      <c r="A7" s="448" t="s">
        <v>13</v>
      </c>
      <c r="B7" s="450" t="s">
        <v>95</v>
      </c>
      <c r="C7" s="450"/>
      <c r="D7" s="450" t="s">
        <v>230</v>
      </c>
      <c r="E7" s="451" t="s">
        <v>231</v>
      </c>
      <c r="F7" s="452"/>
      <c r="G7" s="453"/>
      <c r="H7" s="450" t="s">
        <v>265</v>
      </c>
      <c r="I7" s="450" t="s">
        <v>268</v>
      </c>
    </row>
    <row r="8" spans="1:9" ht="50.25" customHeight="1" x14ac:dyDescent="0.25">
      <c r="A8" s="449"/>
      <c r="B8" s="450"/>
      <c r="C8" s="450"/>
      <c r="D8" s="450"/>
      <c r="E8" s="454"/>
      <c r="F8" s="455"/>
      <c r="G8" s="456"/>
      <c r="H8" s="450"/>
      <c r="I8" s="450"/>
    </row>
    <row r="9" spans="1:9" x14ac:dyDescent="0.25">
      <c r="A9" s="88">
        <v>1</v>
      </c>
      <c r="B9" s="434" t="s">
        <v>104</v>
      </c>
      <c r="C9" s="438"/>
      <c r="D9" s="210" t="s">
        <v>98</v>
      </c>
      <c r="E9" s="211">
        <v>130.1</v>
      </c>
      <c r="F9" s="101" t="s">
        <v>238</v>
      </c>
      <c r="G9" s="184"/>
      <c r="H9" s="212">
        <f>I9/35</f>
        <v>5.5757142857142847</v>
      </c>
      <c r="I9" s="212">
        <f>E9*1.5</f>
        <v>195.14999999999998</v>
      </c>
    </row>
    <row r="10" spans="1:9" ht="24" customHeight="1" x14ac:dyDescent="0.25">
      <c r="A10" s="213"/>
      <c r="B10" s="435" t="s">
        <v>272</v>
      </c>
      <c r="C10" s="437"/>
      <c r="D10" s="213"/>
      <c r="E10" s="435"/>
      <c r="F10" s="436"/>
      <c r="G10" s="437"/>
      <c r="H10" s="214">
        <f>I10/35</f>
        <v>1.8585714285714281</v>
      </c>
      <c r="I10" s="214">
        <f>I9-E9</f>
        <v>65.049999999999983</v>
      </c>
    </row>
    <row r="11" spans="1:9" ht="3.75" customHeight="1" x14ac:dyDescent="0.25">
      <c r="A11" s="88"/>
      <c r="B11" s="233"/>
      <c r="C11" s="235"/>
      <c r="D11" s="213"/>
      <c r="E11" s="233"/>
      <c r="F11" s="234"/>
      <c r="G11" s="235"/>
      <c r="H11" s="214"/>
      <c r="I11" s="212"/>
    </row>
    <row r="12" spans="1:9" x14ac:dyDescent="0.25">
      <c r="A12" s="88">
        <v>2</v>
      </c>
      <c r="B12" s="434" t="s">
        <v>105</v>
      </c>
      <c r="C12" s="438"/>
      <c r="D12" s="210" t="s">
        <v>98</v>
      </c>
      <c r="E12" s="445">
        <v>0.30199999999999999</v>
      </c>
      <c r="F12" s="446"/>
      <c r="G12" s="447"/>
      <c r="H12" s="212">
        <f>H9*E12</f>
        <v>1.6838657142857139</v>
      </c>
      <c r="I12" s="212">
        <f>I9*E12</f>
        <v>58.935299999999991</v>
      </c>
    </row>
    <row r="13" spans="1:9" ht="3.75" customHeight="1" x14ac:dyDescent="0.25">
      <c r="A13" s="88"/>
      <c r="B13" s="439"/>
      <c r="C13" s="441"/>
      <c r="D13" s="215"/>
      <c r="E13" s="439"/>
      <c r="F13" s="440"/>
      <c r="G13" s="441"/>
      <c r="H13" s="214"/>
      <c r="I13" s="212"/>
    </row>
    <row r="14" spans="1:9" x14ac:dyDescent="0.25">
      <c r="A14" s="88">
        <v>3</v>
      </c>
      <c r="B14" s="434" t="s">
        <v>106</v>
      </c>
      <c r="C14" s="438"/>
      <c r="D14" s="210" t="s">
        <v>98</v>
      </c>
      <c r="E14" s="439"/>
      <c r="F14" s="440"/>
      <c r="G14" s="441"/>
      <c r="H14" s="212">
        <f>'Пробег КО-829'!F45/1.3</f>
        <v>42.080197776211655</v>
      </c>
      <c r="I14" s="212">
        <f>'Пробег КО-829'!G47</f>
        <v>273.52128554537575</v>
      </c>
    </row>
    <row r="15" spans="1:9" ht="3.75" customHeight="1" x14ac:dyDescent="0.25">
      <c r="A15" s="88"/>
      <c r="B15" s="439"/>
      <c r="C15" s="441"/>
      <c r="D15" s="215"/>
      <c r="E15" s="439"/>
      <c r="F15" s="440"/>
      <c r="G15" s="441"/>
      <c r="H15" s="214"/>
      <c r="I15" s="212"/>
    </row>
    <row r="16" spans="1:9" x14ac:dyDescent="0.25">
      <c r="A16" s="88">
        <v>4</v>
      </c>
      <c r="B16" s="434" t="s">
        <v>108</v>
      </c>
      <c r="C16" s="438"/>
      <c r="D16" s="210" t="s">
        <v>98</v>
      </c>
      <c r="E16" s="439"/>
      <c r="F16" s="440"/>
      <c r="G16" s="440"/>
      <c r="H16" s="212">
        <f>'Пробег КО-829'!H42/1.3</f>
        <v>19.824643558540966</v>
      </c>
      <c r="I16" s="212">
        <f>'Пробег КО-829'!I47</f>
        <v>257.72036626103261</v>
      </c>
    </row>
    <row r="17" spans="1:9" ht="3.75" customHeight="1" x14ac:dyDescent="0.25">
      <c r="A17" s="88"/>
      <c r="B17" s="439"/>
      <c r="C17" s="441"/>
      <c r="D17" s="215"/>
      <c r="E17" s="440"/>
      <c r="F17" s="440"/>
      <c r="G17" s="440"/>
      <c r="H17" s="214"/>
      <c r="I17" s="214"/>
    </row>
    <row r="18" spans="1:9" x14ac:dyDescent="0.25">
      <c r="A18" s="88">
        <v>5</v>
      </c>
      <c r="B18" s="434" t="s">
        <v>109</v>
      </c>
      <c r="C18" s="438"/>
      <c r="D18" s="213" t="s">
        <v>269</v>
      </c>
      <c r="E18" s="216"/>
      <c r="F18" s="217"/>
      <c r="G18" s="217"/>
      <c r="H18" s="218">
        <v>0.34</v>
      </c>
      <c r="I18" s="218">
        <v>10</v>
      </c>
    </row>
    <row r="19" spans="1:9" x14ac:dyDescent="0.25">
      <c r="A19" s="88"/>
      <c r="B19" s="501" t="s">
        <v>239</v>
      </c>
      <c r="C19" s="502"/>
      <c r="D19" s="210" t="s">
        <v>98</v>
      </c>
      <c r="E19" s="263">
        <v>36.67</v>
      </c>
      <c r="F19" s="217" t="s">
        <v>98</v>
      </c>
      <c r="G19" s="221"/>
      <c r="H19" s="212">
        <f>H18*$E$19</f>
        <v>12.467800000000002</v>
      </c>
      <c r="I19" s="212">
        <f>I18*$E$19</f>
        <v>366.70000000000005</v>
      </c>
    </row>
    <row r="20" spans="1:9" x14ac:dyDescent="0.25">
      <c r="A20" s="88">
        <v>6</v>
      </c>
      <c r="B20" s="434" t="s">
        <v>112</v>
      </c>
      <c r="C20" s="438"/>
      <c r="D20" s="210"/>
      <c r="E20" s="440"/>
      <c r="F20" s="440"/>
      <c r="G20" s="440"/>
      <c r="H20" s="214"/>
      <c r="I20" s="214"/>
    </row>
    <row r="21" spans="1:9" ht="25.5" x14ac:dyDescent="0.25">
      <c r="A21" s="88"/>
      <c r="B21" s="431" t="s">
        <v>113</v>
      </c>
      <c r="C21" s="432"/>
      <c r="D21" s="210" t="s">
        <v>98</v>
      </c>
      <c r="E21" s="222">
        <v>2.8000000000000001E-2</v>
      </c>
      <c r="F21" s="223" t="s">
        <v>240</v>
      </c>
      <c r="G21" s="297">
        <v>186.99</v>
      </c>
      <c r="H21" s="214">
        <f>E21*$H$18*G21</f>
        <v>1.7801448000000002</v>
      </c>
      <c r="I21" s="214">
        <f>E21*$I$18*G21</f>
        <v>52.357200000000006</v>
      </c>
    </row>
    <row r="22" spans="1:9" ht="25.5" x14ac:dyDescent="0.25">
      <c r="A22" s="88"/>
      <c r="B22" s="431" t="s">
        <v>115</v>
      </c>
      <c r="C22" s="432"/>
      <c r="D22" s="210" t="s">
        <v>98</v>
      </c>
      <c r="E22" s="222">
        <v>4.0000000000000001E-3</v>
      </c>
      <c r="F22" s="224" t="s">
        <v>116</v>
      </c>
      <c r="G22" s="297">
        <v>107.82</v>
      </c>
      <c r="H22" s="214">
        <f>E22*$H$18*G22</f>
        <v>0.14663519999999999</v>
      </c>
      <c r="I22" s="214">
        <f>E22*$I$18*G22</f>
        <v>4.3128000000000002</v>
      </c>
    </row>
    <row r="23" spans="1:9" ht="25.5" x14ac:dyDescent="0.25">
      <c r="A23" s="88"/>
      <c r="B23" s="431" t="s">
        <v>117</v>
      </c>
      <c r="C23" s="432"/>
      <c r="D23" s="210" t="s">
        <v>98</v>
      </c>
      <c r="E23" s="222">
        <v>1.4999999999999999E-2</v>
      </c>
      <c r="F23" s="224" t="s">
        <v>116</v>
      </c>
      <c r="G23" s="297">
        <v>75.260000000000005</v>
      </c>
      <c r="H23" s="214">
        <f>E23*$H$18*G23</f>
        <v>0.38382600000000006</v>
      </c>
      <c r="I23" s="214">
        <f>E23*$I$18*G23</f>
        <v>11.289</v>
      </c>
    </row>
    <row r="24" spans="1:9" ht="25.5" x14ac:dyDescent="0.25">
      <c r="A24" s="88"/>
      <c r="B24" s="431" t="s">
        <v>118</v>
      </c>
      <c r="C24" s="432"/>
      <c r="D24" s="210" t="s">
        <v>98</v>
      </c>
      <c r="E24" s="222">
        <v>3.5000000000000003E-2</v>
      </c>
      <c r="F24" s="224" t="s">
        <v>116</v>
      </c>
      <c r="G24" s="297">
        <v>132.04</v>
      </c>
      <c r="H24" s="214">
        <f>E24*$H$18*G24</f>
        <v>1.5712760000000003</v>
      </c>
      <c r="I24" s="214">
        <f>E24*$I$18*G24</f>
        <v>46.213999999999999</v>
      </c>
    </row>
    <row r="25" spans="1:9" x14ac:dyDescent="0.25">
      <c r="A25" s="88"/>
      <c r="B25" s="431" t="s">
        <v>119</v>
      </c>
      <c r="C25" s="432"/>
      <c r="D25" s="210"/>
      <c r="E25" s="435"/>
      <c r="F25" s="436"/>
      <c r="G25" s="437"/>
      <c r="H25" s="212">
        <f>SUM(H21:H24)</f>
        <v>3.8818820000000009</v>
      </c>
      <c r="I25" s="212">
        <f>SUM(I21:I24)</f>
        <v>114.173</v>
      </c>
    </row>
    <row r="26" spans="1:9" ht="3.75" customHeight="1" x14ac:dyDescent="0.25">
      <c r="A26" s="88"/>
      <c r="B26" s="435"/>
      <c r="C26" s="437"/>
      <c r="D26" s="215"/>
      <c r="E26" s="436"/>
      <c r="F26" s="436"/>
      <c r="G26" s="436"/>
      <c r="H26" s="214"/>
      <c r="I26" s="214"/>
    </row>
    <row r="27" spans="1:9" x14ac:dyDescent="0.25">
      <c r="A27" s="88">
        <v>9</v>
      </c>
      <c r="B27" s="434" t="s">
        <v>120</v>
      </c>
      <c r="C27" s="438"/>
      <c r="D27" s="215"/>
      <c r="E27" s="445">
        <v>0.6</v>
      </c>
      <c r="F27" s="446"/>
      <c r="G27" s="447"/>
      <c r="H27" s="212">
        <f>H9*E27</f>
        <v>3.3454285714285708</v>
      </c>
      <c r="I27" s="212">
        <f>I9*E27</f>
        <v>117.08999999999997</v>
      </c>
    </row>
    <row r="28" spans="1:9" ht="3.75" customHeight="1" x14ac:dyDescent="0.25">
      <c r="A28" s="88"/>
      <c r="B28" s="228"/>
      <c r="C28" s="229"/>
      <c r="D28" s="215"/>
      <c r="E28" s="230"/>
      <c r="F28" s="223"/>
      <c r="G28" s="231"/>
      <c r="H28" s="212"/>
      <c r="I28" s="212"/>
    </row>
    <row r="29" spans="1:9" x14ac:dyDescent="0.25">
      <c r="A29" s="88">
        <v>10</v>
      </c>
      <c r="B29" s="434" t="s">
        <v>121</v>
      </c>
      <c r="C29" s="438"/>
      <c r="D29" s="232"/>
      <c r="E29" s="357"/>
      <c r="F29" s="357"/>
      <c r="G29" s="357"/>
      <c r="H29" s="212">
        <f>H9+H12+H14+H16+H19+H25+H27</f>
        <v>88.859531906181189</v>
      </c>
      <c r="I29" s="212">
        <f>I9+I12+I14+I16+I19+I25+I27+0.01</f>
        <v>1383.2999518064082</v>
      </c>
    </row>
    <row r="30" spans="1:9" ht="3.75" customHeight="1" x14ac:dyDescent="0.25">
      <c r="A30" s="88"/>
      <c r="B30" s="228"/>
      <c r="C30" s="229"/>
      <c r="D30" s="232"/>
      <c r="E30" s="233"/>
      <c r="F30" s="234"/>
      <c r="G30" s="235"/>
      <c r="H30" s="212"/>
      <c r="I30" s="212"/>
    </row>
    <row r="31" spans="1:9" x14ac:dyDescent="0.25">
      <c r="A31" s="88">
        <v>11</v>
      </c>
      <c r="B31" s="434" t="s">
        <v>122</v>
      </c>
      <c r="C31" s="438"/>
      <c r="D31" s="232"/>
      <c r="E31" s="439"/>
      <c r="F31" s="440"/>
      <c r="G31" s="441"/>
      <c r="H31" s="212"/>
      <c r="I31" s="212"/>
    </row>
    <row r="32" spans="1:9" ht="29.25" customHeight="1" x14ac:dyDescent="0.25">
      <c r="A32" s="213"/>
      <c r="B32" s="431" t="s">
        <v>123</v>
      </c>
      <c r="C32" s="432"/>
      <c r="D32" s="215" t="s">
        <v>98</v>
      </c>
      <c r="E32" s="442">
        <v>0.1</v>
      </c>
      <c r="F32" s="443"/>
      <c r="G32" s="444"/>
      <c r="H32" s="214">
        <f>H29*E32</f>
        <v>8.8859531906181193</v>
      </c>
      <c r="I32" s="214">
        <f>I29*$E$32</f>
        <v>138.32999518064082</v>
      </c>
    </row>
    <row r="33" spans="1:9" ht="29.25" customHeight="1" x14ac:dyDescent="0.25">
      <c r="A33" s="213"/>
      <c r="B33" s="431" t="s">
        <v>124</v>
      </c>
      <c r="C33" s="432"/>
      <c r="D33" s="215" t="s">
        <v>98</v>
      </c>
      <c r="E33" s="442">
        <v>0.15</v>
      </c>
      <c r="F33" s="443"/>
      <c r="G33" s="444"/>
      <c r="H33" s="214">
        <f>H29*E33</f>
        <v>13.328929785927178</v>
      </c>
      <c r="I33" s="214">
        <f>I29*$E$33</f>
        <v>207.49499277096123</v>
      </c>
    </row>
    <row r="34" spans="1:9" ht="29.25" customHeight="1" x14ac:dyDescent="0.25">
      <c r="A34" s="213"/>
      <c r="B34" s="431" t="s">
        <v>123</v>
      </c>
      <c r="C34" s="432"/>
      <c r="D34" s="215" t="s">
        <v>98</v>
      </c>
      <c r="E34" s="435"/>
      <c r="F34" s="436"/>
      <c r="G34" s="437"/>
      <c r="H34" s="212">
        <f>H29+H32</f>
        <v>97.745485096799314</v>
      </c>
      <c r="I34" s="212">
        <f>I29+I32</f>
        <v>1521.6299469870492</v>
      </c>
    </row>
    <row r="35" spans="1:9" ht="29.25" customHeight="1" x14ac:dyDescent="0.25">
      <c r="A35" s="213"/>
      <c r="B35" s="431" t="s">
        <v>124</v>
      </c>
      <c r="C35" s="432"/>
      <c r="D35" s="215" t="s">
        <v>98</v>
      </c>
      <c r="E35" s="435"/>
      <c r="F35" s="436"/>
      <c r="G35" s="437"/>
      <c r="H35" s="212">
        <f>H29+H33+0.01</f>
        <v>102.19846169210837</v>
      </c>
      <c r="I35" s="212">
        <f>I29+I33</f>
        <v>1590.7949445773695</v>
      </c>
    </row>
    <row r="36" spans="1:9" ht="3.75" customHeight="1" x14ac:dyDescent="0.25">
      <c r="A36" s="102"/>
      <c r="B36" s="103"/>
      <c r="C36" s="103"/>
      <c r="D36" s="242"/>
      <c r="E36" s="102"/>
      <c r="F36" s="102"/>
      <c r="G36" s="102"/>
      <c r="H36" s="237"/>
      <c r="I36" s="237"/>
    </row>
    <row r="37" spans="1:9" ht="57.75" customHeight="1" x14ac:dyDescent="0.25">
      <c r="A37" s="504" t="s">
        <v>359</v>
      </c>
      <c r="B37" s="504"/>
      <c r="C37" s="504"/>
      <c r="D37" s="504"/>
      <c r="E37" s="504"/>
      <c r="F37" s="504"/>
      <c r="G37" s="504"/>
      <c r="H37" s="504"/>
      <c r="I37" s="504"/>
    </row>
    <row r="38" spans="1:9" ht="15.75" x14ac:dyDescent="0.25">
      <c r="A38" s="102"/>
      <c r="B38" s="46"/>
      <c r="C38" s="46"/>
      <c r="D38" s="46"/>
      <c r="E38" s="46"/>
      <c r="F38" s="102"/>
      <c r="G38" s="102"/>
      <c r="H38" s="240"/>
      <c r="I38" s="240"/>
    </row>
    <row r="39" spans="1:9" ht="15.75" x14ac:dyDescent="0.25">
      <c r="A39" s="102"/>
      <c r="B39" s="46"/>
      <c r="C39" s="46"/>
      <c r="D39" s="46"/>
      <c r="E39" s="46"/>
      <c r="F39" s="102"/>
      <c r="G39" s="102"/>
      <c r="H39" s="240"/>
      <c r="I39" s="240"/>
    </row>
    <row r="40" spans="1:9" ht="15.75" x14ac:dyDescent="0.25">
      <c r="A40" s="45"/>
      <c r="B40" s="385" t="s">
        <v>270</v>
      </c>
      <c r="C40" s="385"/>
      <c r="D40" s="385"/>
      <c r="E40" s="83"/>
      <c r="F40" s="433" t="s">
        <v>57</v>
      </c>
      <c r="G40" s="433"/>
      <c r="H40" s="433"/>
      <c r="I40" s="45"/>
    </row>
    <row r="41" spans="1:9" ht="15.75" x14ac:dyDescent="0.25">
      <c r="A41" s="31"/>
      <c r="B41" s="503" t="s">
        <v>56</v>
      </c>
      <c r="C41" s="503"/>
      <c r="D41" s="503"/>
      <c r="E41" s="241"/>
      <c r="F41" s="241"/>
      <c r="G41" s="83"/>
      <c r="H41" s="31"/>
      <c r="I41" s="31"/>
    </row>
  </sheetData>
  <mergeCells count="57">
    <mergeCell ref="B41:D41"/>
    <mergeCell ref="B34:C34"/>
    <mergeCell ref="E34:G34"/>
    <mergeCell ref="B35:C35"/>
    <mergeCell ref="E35:G35"/>
    <mergeCell ref="A37:I37"/>
    <mergeCell ref="B40:D40"/>
    <mergeCell ref="F40:H40"/>
    <mergeCell ref="B31:C31"/>
    <mergeCell ref="E31:G31"/>
    <mergeCell ref="B32:C32"/>
    <mergeCell ref="E32:G32"/>
    <mergeCell ref="B33:C33"/>
    <mergeCell ref="E33:G33"/>
    <mergeCell ref="B26:C26"/>
    <mergeCell ref="E26:G26"/>
    <mergeCell ref="B27:C27"/>
    <mergeCell ref="E27:G27"/>
    <mergeCell ref="B29:C29"/>
    <mergeCell ref="E29:G29"/>
    <mergeCell ref="E25:G25"/>
    <mergeCell ref="B17:C17"/>
    <mergeCell ref="E17:G17"/>
    <mergeCell ref="B18:C18"/>
    <mergeCell ref="B19:C19"/>
    <mergeCell ref="B20:C20"/>
    <mergeCell ref="E20:G20"/>
    <mergeCell ref="B21:C21"/>
    <mergeCell ref="B22:C22"/>
    <mergeCell ref="B23:C23"/>
    <mergeCell ref="B24:C24"/>
    <mergeCell ref="B25:C25"/>
    <mergeCell ref="B14:C14"/>
    <mergeCell ref="E14:G14"/>
    <mergeCell ref="B15:C15"/>
    <mergeCell ref="E15:G15"/>
    <mergeCell ref="B16:C16"/>
    <mergeCell ref="E16:G16"/>
    <mergeCell ref="B13:C13"/>
    <mergeCell ref="E13:G13"/>
    <mergeCell ref="A7:A8"/>
    <mergeCell ref="B7:C8"/>
    <mergeCell ref="D7:D8"/>
    <mergeCell ref="E7:G8"/>
    <mergeCell ref="B9:C9"/>
    <mergeCell ref="B10:C10"/>
    <mergeCell ref="E10:G10"/>
    <mergeCell ref="B12:C12"/>
    <mergeCell ref="E12:G12"/>
    <mergeCell ref="H7:H8"/>
    <mergeCell ref="I7:I8"/>
    <mergeCell ref="A5:I5"/>
    <mergeCell ref="A6:I6"/>
    <mergeCell ref="A1:I1"/>
    <mergeCell ref="A2:I2"/>
    <mergeCell ref="A3:I3"/>
    <mergeCell ref="A4:I4"/>
  </mergeCells>
  <pageMargins left="0.25" right="0.25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K54"/>
  <sheetViews>
    <sheetView topLeftCell="A25" workbookViewId="0">
      <selection activeCell="I47" sqref="I47"/>
    </sheetView>
  </sheetViews>
  <sheetFormatPr defaultRowHeight="15" x14ac:dyDescent="0.25"/>
  <cols>
    <col min="1" max="1" width="24.85546875" customWidth="1"/>
    <col min="2" max="3" width="9.28515625" customWidth="1"/>
    <col min="4" max="4" width="12.85546875" customWidth="1"/>
    <col min="5" max="5" width="9.5703125" customWidth="1"/>
    <col min="6" max="6" width="8.5703125" customWidth="1"/>
    <col min="7" max="7" width="8.42578125" customWidth="1"/>
    <col min="8" max="8" width="8.28515625" customWidth="1"/>
    <col min="9" max="9" width="8.7109375" customWidth="1"/>
    <col min="10" max="10" width="7.28515625" customWidth="1"/>
    <col min="11" max="11" width="8.28515625" customWidth="1"/>
  </cols>
  <sheetData>
    <row r="1" spans="1:11" x14ac:dyDescent="0.25">
      <c r="A1" s="320" t="s">
        <v>273</v>
      </c>
      <c r="B1" s="320"/>
      <c r="C1" s="320"/>
      <c r="D1" s="320"/>
      <c r="E1" s="320"/>
      <c r="F1" s="320"/>
      <c r="G1" s="320"/>
      <c r="H1" s="320"/>
      <c r="I1" s="320"/>
      <c r="J1" s="320"/>
      <c r="K1" s="320"/>
    </row>
    <row r="2" spans="1:11" x14ac:dyDescent="0.25">
      <c r="A2" s="320" t="s">
        <v>274</v>
      </c>
      <c r="B2" s="320"/>
      <c r="C2" s="320"/>
      <c r="D2" s="320"/>
      <c r="E2" s="320"/>
      <c r="F2" s="320"/>
      <c r="G2" s="320"/>
      <c r="H2" s="320"/>
      <c r="I2" s="320"/>
      <c r="J2" s="320"/>
      <c r="K2" s="320"/>
    </row>
    <row r="3" spans="1:11" ht="24" customHeight="1" x14ac:dyDescent="0.25">
      <c r="A3" s="319" t="s">
        <v>275</v>
      </c>
      <c r="B3" s="319"/>
      <c r="C3" s="319"/>
      <c r="D3" s="319"/>
      <c r="E3" s="319"/>
      <c r="F3" s="319"/>
      <c r="G3" s="86"/>
      <c r="H3" s="3"/>
      <c r="I3" s="3"/>
      <c r="J3" s="3"/>
      <c r="K3" s="3"/>
    </row>
    <row r="4" spans="1:11" x14ac:dyDescent="0.25">
      <c r="A4" s="319" t="s">
        <v>276</v>
      </c>
      <c r="B4" s="319"/>
      <c r="C4" s="319"/>
      <c r="D4" s="319"/>
      <c r="E4" s="319"/>
      <c r="F4" s="319"/>
      <c r="G4" s="319"/>
      <c r="H4" s="319"/>
      <c r="I4" s="86"/>
      <c r="J4" s="87"/>
      <c r="K4" s="87"/>
    </row>
    <row r="5" spans="1:11" x14ac:dyDescent="0.25">
      <c r="A5" s="86"/>
      <c r="B5" s="86"/>
      <c r="C5" s="86"/>
      <c r="D5" s="86"/>
      <c r="E5" s="86"/>
      <c r="F5" s="86"/>
      <c r="G5" s="86"/>
      <c r="H5" s="86"/>
      <c r="I5" s="86"/>
      <c r="J5" s="87"/>
      <c r="K5" s="87"/>
    </row>
    <row r="6" spans="1:11" x14ac:dyDescent="0.25">
      <c r="A6" s="319" t="s">
        <v>130</v>
      </c>
      <c r="B6" s="319"/>
      <c r="C6" s="319"/>
      <c r="D6" s="319"/>
      <c r="E6" s="319"/>
      <c r="F6" s="319"/>
      <c r="G6" s="319"/>
      <c r="H6" s="319"/>
      <c r="I6" s="86"/>
      <c r="J6" s="3"/>
      <c r="K6" s="87"/>
    </row>
    <row r="7" spans="1:11" x14ac:dyDescent="0.25">
      <c r="A7" s="87"/>
      <c r="B7" s="5">
        <f>'План. расчет времени'!F31</f>
        <v>416.91710616325003</v>
      </c>
      <c r="C7" s="3" t="s">
        <v>131</v>
      </c>
      <c r="D7" s="3"/>
      <c r="E7" s="3"/>
      <c r="F7" s="3"/>
      <c r="G7" s="3"/>
      <c r="H7" s="3"/>
      <c r="I7" s="3"/>
      <c r="J7" s="3"/>
      <c r="K7" s="87"/>
    </row>
    <row r="8" spans="1:11" x14ac:dyDescent="0.25">
      <c r="A8" s="319" t="s">
        <v>132</v>
      </c>
      <c r="B8" s="319"/>
      <c r="C8" s="319"/>
      <c r="D8" s="319"/>
      <c r="E8" s="319"/>
      <c r="F8" s="319"/>
      <c r="G8" s="319"/>
      <c r="H8" s="319"/>
      <c r="I8" s="86"/>
      <c r="J8" s="86"/>
      <c r="K8" s="87"/>
    </row>
    <row r="9" spans="1:11" x14ac:dyDescent="0.25">
      <c r="A9" s="3"/>
      <c r="B9" s="3">
        <v>40</v>
      </c>
      <c r="C9" s="3" t="s">
        <v>131</v>
      </c>
      <c r="D9" s="3"/>
      <c r="E9" s="3"/>
      <c r="F9" s="3"/>
      <c r="G9" s="3"/>
      <c r="H9" s="3"/>
      <c r="I9" s="3"/>
      <c r="J9" s="86"/>
      <c r="K9" s="87"/>
    </row>
    <row r="10" spans="1:11" x14ac:dyDescent="0.25">
      <c r="A10" s="319" t="s">
        <v>168</v>
      </c>
      <c r="B10" s="319"/>
      <c r="C10" s="319"/>
      <c r="D10" s="319"/>
      <c r="E10" s="319"/>
      <c r="F10" s="319"/>
      <c r="G10" s="319"/>
      <c r="H10" s="319"/>
      <c r="I10" s="319"/>
      <c r="J10" s="319"/>
      <c r="K10" s="87"/>
    </row>
    <row r="11" spans="1:11" x14ac:dyDescent="0.25">
      <c r="A11" s="3"/>
      <c r="B11" s="3">
        <v>40</v>
      </c>
      <c r="C11" s="3" t="s">
        <v>131</v>
      </c>
      <c r="D11" s="87"/>
      <c r="E11" s="87"/>
      <c r="F11" s="87"/>
      <c r="G11" s="87"/>
      <c r="H11" s="3"/>
      <c r="I11" s="3"/>
      <c r="J11" s="3"/>
      <c r="K11" s="87"/>
    </row>
    <row r="12" spans="1:11" x14ac:dyDescent="0.25">
      <c r="A12" s="406" t="s">
        <v>136</v>
      </c>
      <c r="B12" s="406"/>
      <c r="C12" s="406"/>
      <c r="D12" s="149">
        <f>B7-B9-B11</f>
        <v>336.91710616325003</v>
      </c>
      <c r="E12" s="150" t="s">
        <v>131</v>
      </c>
      <c r="F12" s="87"/>
      <c r="G12" s="150"/>
      <c r="H12" s="150"/>
      <c r="I12" s="150"/>
      <c r="J12" s="9"/>
      <c r="K12" s="87"/>
    </row>
    <row r="13" spans="1:11" x14ac:dyDescent="0.25">
      <c r="A13" s="406"/>
      <c r="B13" s="406"/>
      <c r="C13" s="406"/>
      <c r="D13" s="149"/>
      <c r="E13" s="149"/>
      <c r="F13" s="150"/>
      <c r="G13" s="150"/>
      <c r="H13" s="150"/>
      <c r="I13" s="150"/>
      <c r="J13" s="9"/>
      <c r="K13" s="87"/>
    </row>
    <row r="14" spans="1:11" x14ac:dyDescent="0.25">
      <c r="A14" s="151"/>
      <c r="B14" s="151"/>
      <c r="C14" s="151"/>
      <c r="D14" s="149"/>
      <c r="E14" s="149"/>
      <c r="F14" s="150"/>
      <c r="G14" s="150"/>
      <c r="H14" s="150"/>
      <c r="I14" s="150"/>
      <c r="J14" s="9"/>
      <c r="K14" s="87"/>
    </row>
    <row r="15" spans="1:11" x14ac:dyDescent="0.25">
      <c r="A15" s="12"/>
      <c r="B15" s="12"/>
      <c r="C15" s="12"/>
      <c r="D15" s="12"/>
      <c r="E15" s="12"/>
      <c r="F15" s="12"/>
      <c r="G15" s="12"/>
      <c r="H15" s="323" t="s">
        <v>12</v>
      </c>
      <c r="I15" s="323"/>
      <c r="J15" s="87"/>
      <c r="K15" s="87"/>
    </row>
    <row r="16" spans="1:11" ht="9.75" customHeight="1" x14ac:dyDescent="0.25">
      <c r="A16" s="324" t="s">
        <v>277</v>
      </c>
      <c r="B16" s="324"/>
      <c r="C16" s="324"/>
      <c r="D16" s="324"/>
      <c r="E16" s="324"/>
      <c r="F16" s="324"/>
      <c r="G16" s="324"/>
      <c r="H16" s="324"/>
      <c r="I16" s="324"/>
      <c r="J16" s="507"/>
      <c r="K16" s="507"/>
    </row>
    <row r="17" spans="1:11" x14ac:dyDescent="0.25">
      <c r="A17" s="380" t="s">
        <v>15</v>
      </c>
      <c r="B17" s="380" t="s">
        <v>278</v>
      </c>
      <c r="C17" s="380" t="s">
        <v>279</v>
      </c>
      <c r="D17" s="380" t="s">
        <v>280</v>
      </c>
      <c r="E17" s="380" t="s">
        <v>281</v>
      </c>
      <c r="F17" s="448" t="s">
        <v>282</v>
      </c>
      <c r="G17" s="448" t="s">
        <v>283</v>
      </c>
      <c r="H17" s="505" t="s">
        <v>284</v>
      </c>
      <c r="I17" s="384" t="s">
        <v>208</v>
      </c>
      <c r="J17" s="96"/>
      <c r="K17" s="243"/>
    </row>
    <row r="18" spans="1:11" ht="39.75" customHeight="1" x14ac:dyDescent="0.25">
      <c r="A18" s="381"/>
      <c r="B18" s="381"/>
      <c r="C18" s="381"/>
      <c r="D18" s="381"/>
      <c r="E18" s="381"/>
      <c r="F18" s="508"/>
      <c r="G18" s="449"/>
      <c r="H18" s="506"/>
      <c r="I18" s="384"/>
      <c r="J18" s="243"/>
      <c r="K18" s="243"/>
    </row>
    <row r="19" spans="1:11" ht="36" x14ac:dyDescent="0.25">
      <c r="A19" s="17" t="s">
        <v>285</v>
      </c>
      <c r="B19" s="33">
        <f>D19-C19</f>
        <v>10</v>
      </c>
      <c r="C19" s="33">
        <v>1.5</v>
      </c>
      <c r="D19" s="33">
        <f>3*92/12/2</f>
        <v>11.5</v>
      </c>
      <c r="E19" s="33">
        <v>15</v>
      </c>
      <c r="F19" s="33">
        <v>15</v>
      </c>
      <c r="G19" s="33">
        <v>39</v>
      </c>
      <c r="H19" s="33">
        <v>8</v>
      </c>
      <c r="I19" s="33">
        <f>SUM(B19:H19)</f>
        <v>100</v>
      </c>
      <c r="J19" s="243"/>
      <c r="K19" s="243"/>
    </row>
    <row r="20" spans="1:11" x14ac:dyDescent="0.25">
      <c r="A20" s="17" t="s">
        <v>286</v>
      </c>
      <c r="B20" s="33">
        <f>$D$12/100*B19</f>
        <v>33.691710616325004</v>
      </c>
      <c r="C20" s="33">
        <f t="shared" ref="C20:H20" si="0">$D$12/100*C19</f>
        <v>5.0537565924487504</v>
      </c>
      <c r="D20" s="33">
        <f t="shared" si="0"/>
        <v>38.745467208773753</v>
      </c>
      <c r="E20" s="33">
        <f t="shared" si="0"/>
        <v>50.537565924487502</v>
      </c>
      <c r="F20" s="33">
        <f t="shared" si="0"/>
        <v>50.537565924487502</v>
      </c>
      <c r="G20" s="33">
        <f t="shared" si="0"/>
        <v>131.39767140366752</v>
      </c>
      <c r="H20" s="33">
        <f t="shared" si="0"/>
        <v>26.953368493060001</v>
      </c>
      <c r="I20" s="33">
        <f>SUM(B20:H20)</f>
        <v>336.91710616325003</v>
      </c>
      <c r="J20" s="87"/>
      <c r="K20" s="87"/>
    </row>
    <row r="21" spans="1:11" x14ac:dyDescent="0.25">
      <c r="A21" s="17" t="s">
        <v>287</v>
      </c>
      <c r="B21" s="33">
        <v>10</v>
      </c>
      <c r="C21" s="33">
        <v>10</v>
      </c>
      <c r="D21" s="33">
        <v>5</v>
      </c>
      <c r="E21" s="33">
        <v>10</v>
      </c>
      <c r="F21" s="33">
        <v>10</v>
      </c>
      <c r="G21" s="33"/>
      <c r="H21" s="33">
        <v>35</v>
      </c>
      <c r="I21" s="21" t="s">
        <v>29</v>
      </c>
      <c r="J21" s="87"/>
      <c r="K21" s="87"/>
    </row>
    <row r="22" spans="1:11" x14ac:dyDescent="0.25">
      <c r="A22" s="17" t="s">
        <v>288</v>
      </c>
      <c r="B22" s="33">
        <f t="shared" ref="B22:H22" si="1">B20*B21</f>
        <v>336.91710616325003</v>
      </c>
      <c r="C22" s="33">
        <f t="shared" si="1"/>
        <v>50.537565924487502</v>
      </c>
      <c r="D22" s="33">
        <f t="shared" si="1"/>
        <v>193.72733604386877</v>
      </c>
      <c r="E22" s="33">
        <f t="shared" si="1"/>
        <v>505.37565924487501</v>
      </c>
      <c r="F22" s="33">
        <f t="shared" si="1"/>
        <v>505.37565924487501</v>
      </c>
      <c r="G22" s="33"/>
      <c r="H22" s="33">
        <f t="shared" si="1"/>
        <v>943.36789725710003</v>
      </c>
      <c r="I22" s="33">
        <f>SUM(B22:H22)</f>
        <v>2535.3012238784563</v>
      </c>
      <c r="J22" s="87"/>
      <c r="K22" s="87"/>
    </row>
    <row r="23" spans="1:11" ht="24" x14ac:dyDescent="0.25">
      <c r="A23" s="17" t="s">
        <v>289</v>
      </c>
      <c r="B23" s="33"/>
      <c r="C23" s="33"/>
      <c r="D23" s="33"/>
      <c r="E23" s="33"/>
      <c r="F23" s="33"/>
      <c r="G23" s="33">
        <f>G20</f>
        <v>131.39767140366752</v>
      </c>
      <c r="H23" s="33"/>
      <c r="I23" s="33"/>
      <c r="J23" s="87"/>
      <c r="K23" s="87"/>
    </row>
    <row r="24" spans="1:11" ht="24" x14ac:dyDescent="0.25">
      <c r="A24" s="17" t="s">
        <v>290</v>
      </c>
      <c r="B24" s="21">
        <f t="shared" ref="B24:H24" si="2">B20/$I$20*100</f>
        <v>10</v>
      </c>
      <c r="C24" s="21">
        <f t="shared" si="2"/>
        <v>1.5</v>
      </c>
      <c r="D24" s="21">
        <f t="shared" si="2"/>
        <v>11.5</v>
      </c>
      <c r="E24" s="21">
        <f t="shared" si="2"/>
        <v>15</v>
      </c>
      <c r="F24" s="21">
        <f t="shared" si="2"/>
        <v>15</v>
      </c>
      <c r="G24" s="21">
        <f t="shared" si="2"/>
        <v>39</v>
      </c>
      <c r="H24" s="21">
        <f t="shared" si="2"/>
        <v>8</v>
      </c>
      <c r="I24" s="21">
        <f>SUM(B24:H24)</f>
        <v>100</v>
      </c>
      <c r="J24" s="87"/>
      <c r="K24" s="87"/>
    </row>
    <row r="25" spans="1:11" x14ac:dyDescent="0.25">
      <c r="A25" s="12"/>
      <c r="B25" s="12"/>
      <c r="C25" s="244"/>
      <c r="D25" s="12"/>
      <c r="E25" s="12"/>
      <c r="F25" s="12"/>
      <c r="G25" s="12"/>
      <c r="H25" s="12"/>
      <c r="I25" s="12"/>
      <c r="J25" s="87"/>
      <c r="K25" s="87"/>
    </row>
    <row r="26" spans="1:11" x14ac:dyDescent="0.25">
      <c r="A26" s="319" t="s">
        <v>291</v>
      </c>
      <c r="B26" s="319"/>
      <c r="C26" s="319"/>
      <c r="D26" s="319"/>
      <c r="E26" s="86"/>
      <c r="F26" s="87"/>
      <c r="G26" s="87"/>
      <c r="H26" s="87"/>
      <c r="I26" s="87"/>
      <c r="J26" s="87"/>
      <c r="K26" s="87"/>
    </row>
    <row r="27" spans="1:11" x14ac:dyDescent="0.25">
      <c r="A27" s="319" t="s">
        <v>292</v>
      </c>
      <c r="B27" s="319"/>
      <c r="C27" s="319"/>
      <c r="D27" s="319"/>
      <c r="E27" s="319"/>
      <c r="F27" s="319"/>
      <c r="G27" s="319"/>
      <c r="H27" s="319"/>
      <c r="I27" s="319"/>
      <c r="J27" s="319"/>
      <c r="K27" s="87"/>
    </row>
    <row r="28" spans="1:11" x14ac:dyDescent="0.25">
      <c r="A28" s="322" t="s">
        <v>293</v>
      </c>
      <c r="B28" s="322"/>
      <c r="C28" s="322"/>
      <c r="D28" s="322"/>
      <c r="E28" s="322"/>
      <c r="F28" s="322"/>
      <c r="G28" s="87"/>
      <c r="H28" s="3">
        <f>184308</f>
        <v>184308</v>
      </c>
      <c r="I28" s="3" t="s">
        <v>294</v>
      </c>
      <c r="J28" s="87"/>
      <c r="K28" s="87"/>
    </row>
    <row r="29" spans="1:11" x14ac:dyDescent="0.25">
      <c r="A29" s="319" t="s">
        <v>295</v>
      </c>
      <c r="B29" s="319"/>
      <c r="C29" s="319"/>
      <c r="D29" s="319"/>
      <c r="E29" s="319"/>
      <c r="F29" s="319"/>
      <c r="G29" s="86"/>
      <c r="H29" s="299">
        <f>'[1]КО 829А'!$F$32</f>
        <v>86830.399999999994</v>
      </c>
      <c r="I29" s="87" t="s">
        <v>98</v>
      </c>
      <c r="J29" s="87"/>
      <c r="K29" s="87"/>
    </row>
    <row r="30" spans="1:11" x14ac:dyDescent="0.25">
      <c r="A30" s="87"/>
      <c r="B30" s="87"/>
      <c r="C30" s="87"/>
      <c r="D30" s="87"/>
      <c r="E30" s="87"/>
      <c r="F30" s="87"/>
      <c r="G30" s="87"/>
      <c r="H30" s="87"/>
      <c r="I30" s="87"/>
      <c r="J30" s="87"/>
      <c r="K30" s="87"/>
    </row>
    <row r="31" spans="1:11" ht="15.75" thickBot="1" x14ac:dyDescent="0.3">
      <c r="A31" s="378" t="s">
        <v>138</v>
      </c>
      <c r="B31" s="376" t="s">
        <v>139</v>
      </c>
      <c r="C31" s="376"/>
      <c r="D31" s="376"/>
      <c r="E31" s="92"/>
      <c r="F31" s="3"/>
      <c r="G31" s="3"/>
      <c r="H31" s="87"/>
      <c r="I31" s="87"/>
      <c r="J31" s="87"/>
      <c r="K31" s="87"/>
    </row>
    <row r="32" spans="1:11" x14ac:dyDescent="0.25">
      <c r="A32" s="378"/>
      <c r="B32" s="377" t="s">
        <v>296</v>
      </c>
      <c r="C32" s="377"/>
      <c r="D32" s="377"/>
      <c r="E32" s="92"/>
      <c r="F32" s="3"/>
      <c r="G32" s="3"/>
      <c r="H32" s="87"/>
      <c r="I32" s="87"/>
      <c r="J32" s="87"/>
      <c r="K32" s="87"/>
    </row>
    <row r="33" spans="1:11" x14ac:dyDescent="0.25">
      <c r="A33" s="90"/>
      <c r="B33" s="91"/>
      <c r="C33" s="91"/>
      <c r="D33" s="91"/>
      <c r="E33" s="91"/>
      <c r="F33" s="3"/>
      <c r="G33" s="3"/>
      <c r="H33" s="87"/>
      <c r="I33" s="87"/>
      <c r="J33" s="87"/>
      <c r="K33" s="87"/>
    </row>
    <row r="34" spans="1:11" ht="15.75" thickBot="1" x14ac:dyDescent="0.3">
      <c r="A34" s="375" t="s">
        <v>141</v>
      </c>
      <c r="B34" s="375"/>
      <c r="C34" s="376" t="s">
        <v>139</v>
      </c>
      <c r="D34" s="376"/>
      <c r="E34" s="376"/>
      <c r="F34" s="376"/>
      <c r="G34" s="92"/>
      <c r="H34" s="87"/>
      <c r="I34" s="87"/>
      <c r="J34" s="87"/>
      <c r="K34" s="87"/>
    </row>
    <row r="35" spans="1:11" x14ac:dyDescent="0.25">
      <c r="A35" s="375"/>
      <c r="B35" s="375"/>
      <c r="C35" s="377" t="s">
        <v>296</v>
      </c>
      <c r="D35" s="377"/>
      <c r="E35" s="377"/>
      <c r="F35" s="377"/>
      <c r="G35" s="92"/>
      <c r="H35" s="87"/>
      <c r="I35" s="87"/>
      <c r="J35" s="87"/>
      <c r="K35" s="87"/>
    </row>
    <row r="36" spans="1:11" x14ac:dyDescent="0.25">
      <c r="A36" s="9"/>
      <c r="B36" s="9"/>
      <c r="C36" s="92"/>
      <c r="D36" s="92"/>
      <c r="E36" s="92"/>
      <c r="F36" s="92"/>
      <c r="G36" s="92"/>
      <c r="H36" s="87"/>
      <c r="I36" s="87"/>
      <c r="J36" s="87"/>
      <c r="K36" s="87"/>
    </row>
    <row r="37" spans="1:11" x14ac:dyDescent="0.25">
      <c r="A37" s="9"/>
      <c r="B37" s="9"/>
      <c r="C37" s="92"/>
      <c r="D37" s="92"/>
      <c r="E37" s="92"/>
      <c r="F37" s="323" t="s">
        <v>31</v>
      </c>
      <c r="G37" s="323"/>
      <c r="H37" s="323"/>
      <c r="I37" s="323"/>
      <c r="J37" s="87"/>
      <c r="K37" s="87"/>
    </row>
    <row r="38" spans="1:11" x14ac:dyDescent="0.25">
      <c r="A38" s="324" t="s">
        <v>143</v>
      </c>
      <c r="B38" s="324"/>
      <c r="C38" s="324"/>
      <c r="D38" s="324"/>
      <c r="E38" s="324"/>
      <c r="F38" s="324"/>
      <c r="G38" s="324"/>
      <c r="H38" s="324"/>
      <c r="I38" s="12"/>
      <c r="J38" s="87"/>
      <c r="K38" s="87"/>
    </row>
    <row r="39" spans="1:11" x14ac:dyDescent="0.25">
      <c r="A39" s="380" t="s">
        <v>297</v>
      </c>
      <c r="B39" s="510" t="s">
        <v>15</v>
      </c>
      <c r="C39" s="511"/>
      <c r="D39" s="511"/>
      <c r="E39" s="512"/>
      <c r="F39" s="510" t="s">
        <v>145</v>
      </c>
      <c r="G39" s="511"/>
      <c r="H39" s="511"/>
      <c r="I39" s="512"/>
      <c r="J39" s="93"/>
      <c r="K39" s="14"/>
    </row>
    <row r="40" spans="1:11" ht="42" x14ac:dyDescent="0.25">
      <c r="A40" s="381"/>
      <c r="B40" s="85" t="s">
        <v>298</v>
      </c>
      <c r="C40" s="85" t="s">
        <v>147</v>
      </c>
      <c r="D40" s="245" t="s">
        <v>299</v>
      </c>
      <c r="E40" s="245" t="s">
        <v>300</v>
      </c>
      <c r="F40" s="85" t="s">
        <v>301</v>
      </c>
      <c r="G40" s="85" t="s">
        <v>302</v>
      </c>
      <c r="H40" s="85" t="s">
        <v>303</v>
      </c>
      <c r="I40" s="85" t="s">
        <v>304</v>
      </c>
      <c r="J40" s="13"/>
      <c r="K40" s="14"/>
    </row>
    <row r="41" spans="1:11" x14ac:dyDescent="0.25">
      <c r="A41" s="97" t="s">
        <v>305</v>
      </c>
      <c r="B41" s="98">
        <f>H28/100*B24</f>
        <v>18430.8</v>
      </c>
      <c r="C41" s="99">
        <f>$H$29/100*B24</f>
        <v>8683.0399999999991</v>
      </c>
      <c r="D41" s="100">
        <f>B22</f>
        <v>336.91710616325003</v>
      </c>
      <c r="E41" s="100"/>
      <c r="F41" s="99">
        <f>B41/D41</f>
        <v>54.704257109075158</v>
      </c>
      <c r="G41" s="99"/>
      <c r="H41" s="98">
        <f>C41/D41</f>
        <v>25.772036626103258</v>
      </c>
      <c r="I41" s="98"/>
      <c r="J41" s="12"/>
      <c r="K41" s="87"/>
    </row>
    <row r="42" spans="1:11" x14ac:dyDescent="0.25">
      <c r="A42" s="97" t="s">
        <v>306</v>
      </c>
      <c r="B42" s="98">
        <f>H28/100*C24</f>
        <v>2764.62</v>
      </c>
      <c r="C42" s="99">
        <f>$H$29/100*C24</f>
        <v>1302.4559999999999</v>
      </c>
      <c r="D42" s="100">
        <f>C22</f>
        <v>50.537565924487502</v>
      </c>
      <c r="E42" s="100"/>
      <c r="F42" s="99">
        <f>B42/D42</f>
        <v>54.704257109075158</v>
      </c>
      <c r="G42" s="99"/>
      <c r="H42" s="98">
        <f>C42/D42</f>
        <v>25.772036626103258</v>
      </c>
      <c r="I42" s="98"/>
      <c r="J42" s="12"/>
      <c r="K42" s="87"/>
    </row>
    <row r="43" spans="1:11" x14ac:dyDescent="0.25">
      <c r="A43" s="97" t="s">
        <v>307</v>
      </c>
      <c r="B43" s="98">
        <f>H28/100*D24</f>
        <v>21195.42</v>
      </c>
      <c r="C43" s="99">
        <f>$H$29/100*D24</f>
        <v>9985.4959999999992</v>
      </c>
      <c r="D43" s="100">
        <f>D22</f>
        <v>193.72733604386877</v>
      </c>
      <c r="E43" s="100"/>
      <c r="F43" s="99">
        <f>B43/D43/6</f>
        <v>18.234752369691716</v>
      </c>
      <c r="G43" s="99"/>
      <c r="H43" s="98">
        <f>C43/D43/6</f>
        <v>8.5906788753677521</v>
      </c>
      <c r="I43" s="98"/>
      <c r="J43" s="12"/>
      <c r="K43" s="87"/>
    </row>
    <row r="44" spans="1:11" x14ac:dyDescent="0.25">
      <c r="A44" s="97" t="s">
        <v>308</v>
      </c>
      <c r="B44" s="98">
        <f>H28/100*E24</f>
        <v>27646.199999999997</v>
      </c>
      <c r="C44" s="99">
        <f>$H$29/100*E24</f>
        <v>13024.56</v>
      </c>
      <c r="D44" s="100">
        <f>E22</f>
        <v>505.37565924487501</v>
      </c>
      <c r="E44" s="100"/>
      <c r="F44" s="99">
        <f>B44/D44</f>
        <v>54.704257109075158</v>
      </c>
      <c r="G44" s="99"/>
      <c r="H44" s="98">
        <f>C44/D44</f>
        <v>25.772036626103262</v>
      </c>
      <c r="I44" s="98"/>
      <c r="J44" s="12"/>
      <c r="K44" s="87"/>
    </row>
    <row r="45" spans="1:11" x14ac:dyDescent="0.25">
      <c r="A45" s="97" t="s">
        <v>309</v>
      </c>
      <c r="B45" s="98">
        <f>H28/100*F24</f>
        <v>27646.199999999997</v>
      </c>
      <c r="C45" s="99">
        <f>$H$29/100*F24</f>
        <v>13024.56</v>
      </c>
      <c r="D45" s="100">
        <f>F22</f>
        <v>505.37565924487501</v>
      </c>
      <c r="E45" s="100"/>
      <c r="F45" s="99">
        <f>B45/D45</f>
        <v>54.704257109075158</v>
      </c>
      <c r="G45" s="99"/>
      <c r="H45" s="98">
        <f>C45/D45</f>
        <v>25.772036626103262</v>
      </c>
      <c r="I45" s="98"/>
      <c r="J45" s="12"/>
      <c r="K45" s="87"/>
    </row>
    <row r="46" spans="1:11" x14ac:dyDescent="0.25">
      <c r="A46" s="97" t="s">
        <v>310</v>
      </c>
      <c r="B46" s="98">
        <f>H28/100*H24</f>
        <v>14744.64</v>
      </c>
      <c r="C46" s="99">
        <f>$H$29/100*H24</f>
        <v>6946.4319999999998</v>
      </c>
      <c r="D46" s="246">
        <f>H22</f>
        <v>943.36789725710003</v>
      </c>
      <c r="E46" s="246"/>
      <c r="F46" s="99">
        <f>B46/D46</f>
        <v>15.629787745450045</v>
      </c>
      <c r="G46" s="99"/>
      <c r="H46" s="98">
        <f>C46/D46</f>
        <v>7.3634390360295026</v>
      </c>
      <c r="I46" s="98"/>
      <c r="J46" s="12"/>
      <c r="K46" s="87"/>
    </row>
    <row r="47" spans="1:11" x14ac:dyDescent="0.25">
      <c r="A47" s="97" t="s">
        <v>311</v>
      </c>
      <c r="B47" s="98">
        <f>H28/100*G24</f>
        <v>71880.12</v>
      </c>
      <c r="C47" s="99">
        <f>$H$29/100*G24</f>
        <v>33863.856</v>
      </c>
      <c r="D47" s="246"/>
      <c r="E47" s="246">
        <f>G23</f>
        <v>131.39767140366752</v>
      </c>
      <c r="F47" s="87"/>
      <c r="G47" s="99">
        <f>B47/E47/2</f>
        <v>273.52128554537575</v>
      </c>
      <c r="H47" s="87"/>
      <c r="I47" s="98">
        <f>C47/E47</f>
        <v>257.72036626103261</v>
      </c>
      <c r="J47" s="12"/>
      <c r="K47" s="87"/>
    </row>
    <row r="48" spans="1:11" x14ac:dyDescent="0.25">
      <c r="A48" s="97" t="s">
        <v>30</v>
      </c>
      <c r="B48" s="98">
        <f>SUM(B41:B47)</f>
        <v>184308</v>
      </c>
      <c r="C48" s="98">
        <f>SUM(C41:C47)</f>
        <v>86830.399999999994</v>
      </c>
      <c r="D48" s="98">
        <f>SUM(D41:D46)</f>
        <v>2535.3012238784563</v>
      </c>
      <c r="E48" s="98"/>
      <c r="F48" s="98"/>
      <c r="G48" s="98"/>
      <c r="H48" s="98"/>
      <c r="I48" s="98"/>
      <c r="J48" s="12"/>
      <c r="K48" s="87"/>
    </row>
    <row r="49" spans="1:11" x14ac:dyDescent="0.25">
      <c r="A49" s="25"/>
      <c r="B49" s="247"/>
      <c r="C49" s="247"/>
      <c r="D49" s="247"/>
      <c r="E49" s="247"/>
      <c r="F49" s="247"/>
      <c r="G49" s="247"/>
      <c r="H49" s="247"/>
      <c r="I49" s="247"/>
      <c r="J49" s="12"/>
      <c r="K49" s="87"/>
    </row>
    <row r="50" spans="1:11" x14ac:dyDescent="0.25">
      <c r="A50" s="513" t="s">
        <v>257</v>
      </c>
      <c r="B50" s="513"/>
      <c r="C50" s="513"/>
      <c r="D50" s="513"/>
      <c r="E50" s="513"/>
      <c r="F50" s="513"/>
      <c r="G50" s="513"/>
      <c r="H50" s="513"/>
      <c r="I50" s="513"/>
      <c r="J50" s="513"/>
      <c r="K50" s="3"/>
    </row>
    <row r="51" spans="1:11" x14ac:dyDescent="0.25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</row>
    <row r="52" spans="1:11" x14ac:dyDescent="0.25">
      <c r="A52" s="87"/>
      <c r="B52" s="87"/>
      <c r="C52" s="87"/>
      <c r="D52" s="87"/>
      <c r="E52" s="87"/>
      <c r="F52" s="87"/>
      <c r="G52" s="87"/>
      <c r="H52" s="87"/>
      <c r="I52" s="87"/>
      <c r="J52" s="87"/>
      <c r="K52" s="87"/>
    </row>
    <row r="53" spans="1:11" ht="15.75" x14ac:dyDescent="0.25">
      <c r="A53" s="385" t="s">
        <v>270</v>
      </c>
      <c r="B53" s="385"/>
      <c r="C53" s="385"/>
      <c r="D53" s="31"/>
      <c r="E53" s="31"/>
      <c r="F53" s="509" t="s">
        <v>57</v>
      </c>
      <c r="G53" s="509"/>
      <c r="H53" s="509"/>
      <c r="I53" s="509"/>
      <c r="J53" s="509"/>
      <c r="K53" s="31"/>
    </row>
    <row r="54" spans="1:11" ht="15.75" x14ac:dyDescent="0.25">
      <c r="A54" s="379" t="s">
        <v>56</v>
      </c>
      <c r="B54" s="379"/>
      <c r="C54" s="379"/>
      <c r="D54" s="31"/>
      <c r="E54" s="31"/>
      <c r="F54" s="31"/>
      <c r="G54" s="31"/>
      <c r="H54" s="84"/>
      <c r="I54" s="84"/>
      <c r="J54" s="31"/>
      <c r="K54" s="31"/>
    </row>
  </sheetData>
  <mergeCells count="39">
    <mergeCell ref="A53:C53"/>
    <mergeCell ref="F53:J53"/>
    <mergeCell ref="A54:C54"/>
    <mergeCell ref="F37:I37"/>
    <mergeCell ref="A38:H38"/>
    <mergeCell ref="A39:A40"/>
    <mergeCell ref="B39:E39"/>
    <mergeCell ref="F39:I39"/>
    <mergeCell ref="A50:J50"/>
    <mergeCell ref="A34:B35"/>
    <mergeCell ref="C34:F34"/>
    <mergeCell ref="C35:F35"/>
    <mergeCell ref="F17:F18"/>
    <mergeCell ref="G17:G18"/>
    <mergeCell ref="A28:F28"/>
    <mergeCell ref="A29:F29"/>
    <mergeCell ref="A31:A32"/>
    <mergeCell ref="B31:D31"/>
    <mergeCell ref="B32:D32"/>
    <mergeCell ref="H17:H18"/>
    <mergeCell ref="I17:I18"/>
    <mergeCell ref="A26:D26"/>
    <mergeCell ref="A27:J27"/>
    <mergeCell ref="A10:J10"/>
    <mergeCell ref="A12:C12"/>
    <mergeCell ref="A13:C13"/>
    <mergeCell ref="H15:I15"/>
    <mergeCell ref="A16:K16"/>
    <mergeCell ref="A17:A18"/>
    <mergeCell ref="B17:B18"/>
    <mergeCell ref="C17:C18"/>
    <mergeCell ref="D17:D18"/>
    <mergeCell ref="E17:E18"/>
    <mergeCell ref="A8:H8"/>
    <mergeCell ref="A1:K1"/>
    <mergeCell ref="A2:K2"/>
    <mergeCell ref="A3:F3"/>
    <mergeCell ref="A4:H4"/>
    <mergeCell ref="A6:H6"/>
  </mergeCells>
  <pageMargins left="0.25" right="0.25" top="0.75" bottom="0.75" header="0.3" footer="0.3"/>
  <pageSetup paperSize="9" orientation="landscape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H50"/>
  <sheetViews>
    <sheetView workbookViewId="0">
      <selection activeCell="F39" sqref="F39"/>
    </sheetView>
  </sheetViews>
  <sheetFormatPr defaultRowHeight="15" x14ac:dyDescent="0.25"/>
  <cols>
    <col min="1" max="1" width="24.85546875" customWidth="1"/>
    <col min="2" max="2" width="8.42578125" customWidth="1"/>
    <col min="3" max="3" width="7.7109375" customWidth="1"/>
    <col min="4" max="4" width="13" customWidth="1"/>
    <col min="5" max="5" width="8.42578125" customWidth="1"/>
    <col min="6" max="6" width="12.140625" customWidth="1"/>
    <col min="7" max="7" width="7.28515625" customWidth="1"/>
    <col min="8" max="8" width="8.28515625" customWidth="1"/>
  </cols>
  <sheetData>
    <row r="1" spans="1:8" x14ac:dyDescent="0.25">
      <c r="A1" s="320" t="s">
        <v>273</v>
      </c>
      <c r="B1" s="320"/>
      <c r="C1" s="320"/>
      <c r="D1" s="320"/>
      <c r="E1" s="320"/>
      <c r="F1" s="320"/>
      <c r="G1" s="320"/>
      <c r="H1" s="320"/>
    </row>
    <row r="2" spans="1:8" x14ac:dyDescent="0.25">
      <c r="A2" s="320" t="s">
        <v>274</v>
      </c>
      <c r="B2" s="320"/>
      <c r="C2" s="320"/>
      <c r="D2" s="320"/>
      <c r="E2" s="320"/>
      <c r="F2" s="320"/>
      <c r="G2" s="320"/>
      <c r="H2" s="320"/>
    </row>
    <row r="3" spans="1:8" ht="30" customHeight="1" x14ac:dyDescent="0.25">
      <c r="A3" s="319" t="s">
        <v>275</v>
      </c>
      <c r="B3" s="319"/>
      <c r="C3" s="319"/>
      <c r="D3" s="319"/>
      <c r="E3" s="319"/>
      <c r="F3" s="3"/>
      <c r="G3" s="3"/>
      <c r="H3" s="3"/>
    </row>
    <row r="4" spans="1:8" x14ac:dyDescent="0.25">
      <c r="A4" s="319" t="s">
        <v>312</v>
      </c>
      <c r="B4" s="319"/>
      <c r="C4" s="319"/>
      <c r="D4" s="319"/>
      <c r="E4" s="319"/>
      <c r="F4" s="319"/>
      <c r="G4" s="87"/>
      <c r="H4" s="87"/>
    </row>
    <row r="5" spans="1:8" x14ac:dyDescent="0.25">
      <c r="A5" s="319" t="s">
        <v>313</v>
      </c>
      <c r="B5" s="319"/>
      <c r="C5" s="319"/>
      <c r="D5" s="319"/>
      <c r="E5" s="319"/>
      <c r="F5" s="319"/>
      <c r="G5" s="87"/>
      <c r="H5" s="87"/>
    </row>
    <row r="6" spans="1:8" x14ac:dyDescent="0.25">
      <c r="A6" s="86"/>
      <c r="B6" s="86"/>
      <c r="C6" s="86"/>
      <c r="D6" s="86"/>
      <c r="E6" s="86"/>
      <c r="F6" s="86"/>
      <c r="G6" s="87"/>
      <c r="H6" s="87"/>
    </row>
    <row r="7" spans="1:8" x14ac:dyDescent="0.25">
      <c r="A7" s="319" t="s">
        <v>130</v>
      </c>
      <c r="B7" s="319"/>
      <c r="C7" s="319"/>
      <c r="D7" s="319"/>
      <c r="E7" s="319"/>
      <c r="F7" s="319"/>
      <c r="G7" s="3"/>
      <c r="H7" s="87"/>
    </row>
    <row r="8" spans="1:8" x14ac:dyDescent="0.25">
      <c r="A8" s="87"/>
      <c r="B8" s="5">
        <f>'План. расчет времени'!F31</f>
        <v>416.91710616325003</v>
      </c>
      <c r="C8" s="3" t="s">
        <v>131</v>
      </c>
      <c r="D8" s="3"/>
      <c r="E8" s="3"/>
      <c r="F8" s="3"/>
      <c r="G8" s="3"/>
      <c r="H8" s="87"/>
    </row>
    <row r="9" spans="1:8" x14ac:dyDescent="0.25">
      <c r="A9" s="319" t="s">
        <v>132</v>
      </c>
      <c r="B9" s="319"/>
      <c r="C9" s="319"/>
      <c r="D9" s="319"/>
      <c r="E9" s="319"/>
      <c r="F9" s="319"/>
      <c r="G9" s="86"/>
      <c r="H9" s="87"/>
    </row>
    <row r="10" spans="1:8" x14ac:dyDescent="0.25">
      <c r="A10" s="3"/>
      <c r="B10" s="3">
        <v>40</v>
      </c>
      <c r="C10" s="3" t="s">
        <v>131</v>
      </c>
      <c r="D10" s="3"/>
      <c r="E10" s="3"/>
      <c r="F10" s="3"/>
      <c r="G10" s="86"/>
      <c r="H10" s="87"/>
    </row>
    <row r="11" spans="1:8" x14ac:dyDescent="0.25">
      <c r="A11" s="319" t="s">
        <v>168</v>
      </c>
      <c r="B11" s="319"/>
      <c r="C11" s="319"/>
      <c r="D11" s="319"/>
      <c r="E11" s="319"/>
      <c r="F11" s="319"/>
      <c r="G11" s="319"/>
      <c r="H11" s="87"/>
    </row>
    <row r="12" spans="1:8" x14ac:dyDescent="0.25">
      <c r="A12" s="3"/>
      <c r="B12" s="3">
        <v>20</v>
      </c>
      <c r="C12" s="3" t="s">
        <v>131</v>
      </c>
      <c r="D12" s="87"/>
      <c r="E12" s="87"/>
      <c r="F12" s="3"/>
      <c r="G12" s="3"/>
      <c r="H12" s="87"/>
    </row>
    <row r="13" spans="1:8" x14ac:dyDescent="0.25">
      <c r="A13" s="406" t="s">
        <v>136</v>
      </c>
      <c r="B13" s="406"/>
      <c r="C13" s="406"/>
      <c r="D13" s="149">
        <f>B8-B10-B12</f>
        <v>356.91710616325003</v>
      </c>
      <c r="E13" s="150" t="s">
        <v>131</v>
      </c>
      <c r="F13" s="150"/>
      <c r="G13" s="9"/>
      <c r="H13" s="87"/>
    </row>
    <row r="14" spans="1:8" x14ac:dyDescent="0.25">
      <c r="A14" s="12"/>
      <c r="B14" s="12"/>
      <c r="C14" s="12"/>
      <c r="D14" s="12"/>
      <c r="E14" s="12"/>
      <c r="F14" s="12"/>
      <c r="G14" s="323" t="s">
        <v>12</v>
      </c>
      <c r="H14" s="323"/>
    </row>
    <row r="15" spans="1:8" x14ac:dyDescent="0.25">
      <c r="A15" s="324" t="s">
        <v>314</v>
      </c>
      <c r="B15" s="324"/>
      <c r="C15" s="324"/>
      <c r="D15" s="324"/>
      <c r="E15" s="324"/>
      <c r="F15" s="324"/>
      <c r="G15" s="324"/>
      <c r="H15" s="324"/>
    </row>
    <row r="16" spans="1:8" x14ac:dyDescent="0.25">
      <c r="A16" s="380" t="s">
        <v>15</v>
      </c>
      <c r="B16" s="380" t="s">
        <v>278</v>
      </c>
      <c r="C16" s="380" t="s">
        <v>279</v>
      </c>
      <c r="D16" s="380" t="s">
        <v>280</v>
      </c>
      <c r="E16" s="380" t="s">
        <v>281</v>
      </c>
      <c r="F16" s="448" t="s">
        <v>282</v>
      </c>
      <c r="G16" s="505" t="s">
        <v>284</v>
      </c>
      <c r="H16" s="380" t="s">
        <v>208</v>
      </c>
    </row>
    <row r="17" spans="1:8" x14ac:dyDescent="0.25">
      <c r="A17" s="381"/>
      <c r="B17" s="381"/>
      <c r="C17" s="381"/>
      <c r="D17" s="381"/>
      <c r="E17" s="381"/>
      <c r="F17" s="508"/>
      <c r="G17" s="506"/>
      <c r="H17" s="381"/>
    </row>
    <row r="18" spans="1:8" ht="36" x14ac:dyDescent="0.25">
      <c r="A18" s="17" t="s">
        <v>285</v>
      </c>
      <c r="B18" s="33">
        <f>D18-C18</f>
        <v>10</v>
      </c>
      <c r="C18" s="33">
        <v>1.5</v>
      </c>
      <c r="D18" s="33">
        <f>3*92/12/2</f>
        <v>11.5</v>
      </c>
      <c r="E18" s="33">
        <f>4.5*92/12</f>
        <v>34.5</v>
      </c>
      <c r="F18" s="33">
        <f>4.5*92/12</f>
        <v>34.5</v>
      </c>
      <c r="G18" s="33">
        <v>8</v>
      </c>
      <c r="H18" s="33">
        <f>SUM(B18:G18)</f>
        <v>100</v>
      </c>
    </row>
    <row r="19" spans="1:8" x14ac:dyDescent="0.25">
      <c r="A19" s="17" t="s">
        <v>286</v>
      </c>
      <c r="B19" s="33">
        <f t="shared" ref="B19:G19" si="0">$D$13/100*B18</f>
        <v>35.691710616325004</v>
      </c>
      <c r="C19" s="33">
        <f t="shared" si="0"/>
        <v>5.3537565924487502</v>
      </c>
      <c r="D19" s="33">
        <f t="shared" si="0"/>
        <v>41.045467208773751</v>
      </c>
      <c r="E19" s="33">
        <f t="shared" si="0"/>
        <v>123.13640162632126</v>
      </c>
      <c r="F19" s="33">
        <f t="shared" si="0"/>
        <v>123.13640162632126</v>
      </c>
      <c r="G19" s="33">
        <f t="shared" si="0"/>
        <v>28.553368493060002</v>
      </c>
      <c r="H19" s="33">
        <f>SUM(B19:G19)</f>
        <v>356.91710616325008</v>
      </c>
    </row>
    <row r="20" spans="1:8" x14ac:dyDescent="0.25">
      <c r="A20" s="17" t="s">
        <v>287</v>
      </c>
      <c r="B20" s="33">
        <v>10</v>
      </c>
      <c r="C20" s="33">
        <v>10</v>
      </c>
      <c r="D20" s="33">
        <v>5</v>
      </c>
      <c r="E20" s="33">
        <v>10</v>
      </c>
      <c r="F20" s="33">
        <v>10</v>
      </c>
      <c r="G20" s="33">
        <v>35</v>
      </c>
      <c r="H20" s="21" t="s">
        <v>29</v>
      </c>
    </row>
    <row r="21" spans="1:8" x14ac:dyDescent="0.25">
      <c r="A21" s="17" t="s">
        <v>288</v>
      </c>
      <c r="B21" s="33">
        <f>B19*B20</f>
        <v>356.91710616325003</v>
      </c>
      <c r="C21" s="33">
        <f t="shared" ref="C21:G21" si="1">C19*C20</f>
        <v>53.537565924487502</v>
      </c>
      <c r="D21" s="33">
        <f t="shared" si="1"/>
        <v>205.22733604386875</v>
      </c>
      <c r="E21" s="33">
        <f>E19*E20</f>
        <v>1231.3640162632125</v>
      </c>
      <c r="F21" s="33">
        <f t="shared" si="1"/>
        <v>1231.3640162632125</v>
      </c>
      <c r="G21" s="33">
        <f t="shared" si="1"/>
        <v>999.36789725710014</v>
      </c>
      <c r="H21" s="33">
        <f>SUM(B21:G21)</f>
        <v>4077.7779379151311</v>
      </c>
    </row>
    <row r="22" spans="1:8" ht="24" x14ac:dyDescent="0.25">
      <c r="A22" s="17" t="s">
        <v>315</v>
      </c>
      <c r="B22" s="21">
        <f>B21/$H$21*100</f>
        <v>8.7527352297593009</v>
      </c>
      <c r="C22" s="21">
        <f t="shared" ref="C22:H22" si="2">C21/$H$21*100</f>
        <v>1.3129102844638951</v>
      </c>
      <c r="D22" s="21">
        <f t="shared" si="2"/>
        <v>5.0328227571115978</v>
      </c>
      <c r="E22" s="21">
        <f t="shared" si="2"/>
        <v>30.196936542669583</v>
      </c>
      <c r="F22" s="21">
        <f t="shared" si="2"/>
        <v>30.196936542669583</v>
      </c>
      <c r="G22" s="21">
        <f t="shared" si="2"/>
        <v>24.507658643326042</v>
      </c>
      <c r="H22" s="21">
        <f t="shared" si="2"/>
        <v>100</v>
      </c>
    </row>
    <row r="23" spans="1:8" x14ac:dyDescent="0.25">
      <c r="A23" s="12"/>
      <c r="B23" s="12"/>
      <c r="C23" s="244"/>
      <c r="D23" s="12"/>
      <c r="E23" s="12"/>
      <c r="F23" s="12"/>
      <c r="G23" s="87"/>
      <c r="H23" s="87"/>
    </row>
    <row r="24" spans="1:8" x14ac:dyDescent="0.25">
      <c r="A24" s="319" t="s">
        <v>291</v>
      </c>
      <c r="B24" s="319"/>
      <c r="C24" s="319"/>
      <c r="D24" s="319"/>
      <c r="E24" s="87"/>
      <c r="F24" s="87"/>
      <c r="G24" s="87"/>
      <c r="H24" s="87"/>
    </row>
    <row r="25" spans="1:8" x14ac:dyDescent="0.25">
      <c r="A25" s="319" t="s">
        <v>292</v>
      </c>
      <c r="B25" s="319"/>
      <c r="C25" s="319"/>
      <c r="D25" s="319"/>
      <c r="E25" s="319"/>
      <c r="F25" s="319"/>
      <c r="G25" s="319"/>
      <c r="H25" s="87"/>
    </row>
    <row r="26" spans="1:8" ht="25.5" x14ac:dyDescent="0.25">
      <c r="A26" s="322" t="s">
        <v>293</v>
      </c>
      <c r="B26" s="322"/>
      <c r="C26" s="322"/>
      <c r="D26" s="322"/>
      <c r="E26" s="322"/>
      <c r="F26" s="3">
        <f>184308</f>
        <v>184308</v>
      </c>
      <c r="G26" s="3" t="s">
        <v>294</v>
      </c>
      <c r="H26" s="87"/>
    </row>
    <row r="27" spans="1:8" x14ac:dyDescent="0.25">
      <c r="A27" s="319" t="s">
        <v>295</v>
      </c>
      <c r="B27" s="319"/>
      <c r="C27" s="319"/>
      <c r="D27" s="319"/>
      <c r="E27" s="319"/>
      <c r="F27" s="299">
        <f>'[1]КО 829А'!$F$32</f>
        <v>86830.399999999994</v>
      </c>
      <c r="G27" s="87" t="s">
        <v>98</v>
      </c>
      <c r="H27" s="87"/>
    </row>
    <row r="28" spans="1:8" x14ac:dyDescent="0.25">
      <c r="A28" s="87"/>
      <c r="B28" s="87"/>
      <c r="C28" s="87"/>
      <c r="D28" s="87"/>
      <c r="E28" s="87"/>
      <c r="F28" s="87"/>
      <c r="G28" s="87"/>
      <c r="H28" s="87"/>
    </row>
    <row r="29" spans="1:8" ht="15.75" thickBot="1" x14ac:dyDescent="0.3">
      <c r="A29" s="378" t="s">
        <v>138</v>
      </c>
      <c r="B29" s="376" t="s">
        <v>139</v>
      </c>
      <c r="C29" s="376"/>
      <c r="D29" s="376"/>
      <c r="E29" s="3"/>
      <c r="F29" s="87"/>
      <c r="G29" s="87"/>
      <c r="H29" s="87"/>
    </row>
    <row r="30" spans="1:8" x14ac:dyDescent="0.25">
      <c r="A30" s="378"/>
      <c r="B30" s="377" t="s">
        <v>296</v>
      </c>
      <c r="C30" s="377"/>
      <c r="D30" s="377"/>
      <c r="E30" s="3"/>
      <c r="F30" s="87"/>
      <c r="G30" s="87"/>
      <c r="H30" s="87"/>
    </row>
    <row r="31" spans="1:8" x14ac:dyDescent="0.25">
      <c r="A31" s="90"/>
      <c r="B31" s="91"/>
      <c r="C31" s="91"/>
      <c r="D31" s="91"/>
      <c r="E31" s="3"/>
      <c r="F31" s="87"/>
      <c r="G31" s="87"/>
      <c r="H31" s="87"/>
    </row>
    <row r="32" spans="1:8" ht="15.75" thickBot="1" x14ac:dyDescent="0.3">
      <c r="A32" s="375" t="s">
        <v>141</v>
      </c>
      <c r="B32" s="375"/>
      <c r="C32" s="376" t="s">
        <v>139</v>
      </c>
      <c r="D32" s="376"/>
      <c r="E32" s="376"/>
      <c r="F32" s="87"/>
      <c r="G32" s="87"/>
      <c r="H32" s="87"/>
    </row>
    <row r="33" spans="1:8" x14ac:dyDescent="0.25">
      <c r="A33" s="375"/>
      <c r="B33" s="375"/>
      <c r="C33" s="377" t="s">
        <v>296</v>
      </c>
      <c r="D33" s="377"/>
      <c r="E33" s="377"/>
      <c r="F33" s="87"/>
      <c r="G33" s="87"/>
      <c r="H33" s="87"/>
    </row>
    <row r="34" spans="1:8" x14ac:dyDescent="0.25">
      <c r="A34" s="9"/>
      <c r="B34" s="9"/>
      <c r="C34" s="92"/>
      <c r="D34" s="92"/>
      <c r="E34" s="92"/>
      <c r="F34" s="87"/>
      <c r="G34" s="87"/>
      <c r="H34" s="87"/>
    </row>
    <row r="35" spans="1:8" x14ac:dyDescent="0.25">
      <c r="A35" s="9"/>
      <c r="B35" s="9"/>
      <c r="C35" s="92"/>
      <c r="D35" s="92"/>
      <c r="E35" s="323" t="s">
        <v>31</v>
      </c>
      <c r="F35" s="323"/>
      <c r="G35" s="87"/>
      <c r="H35" s="87"/>
    </row>
    <row r="36" spans="1:8" x14ac:dyDescent="0.25">
      <c r="A36" s="324" t="s">
        <v>143</v>
      </c>
      <c r="B36" s="324"/>
      <c r="C36" s="324"/>
      <c r="D36" s="324"/>
      <c r="E36" s="324"/>
      <c r="F36" s="324"/>
      <c r="G36" s="87"/>
      <c r="H36" s="87"/>
    </row>
    <row r="37" spans="1:8" x14ac:dyDescent="0.25">
      <c r="A37" s="380" t="s">
        <v>297</v>
      </c>
      <c r="B37" s="510" t="s">
        <v>15</v>
      </c>
      <c r="C37" s="511"/>
      <c r="D37" s="511"/>
      <c r="E37" s="327" t="s">
        <v>145</v>
      </c>
      <c r="F37" s="327"/>
      <c r="G37" s="93"/>
      <c r="H37" s="14"/>
    </row>
    <row r="38" spans="1:8" ht="42" x14ac:dyDescent="0.25">
      <c r="A38" s="381"/>
      <c r="B38" s="85" t="s">
        <v>316</v>
      </c>
      <c r="C38" s="85" t="s">
        <v>317</v>
      </c>
      <c r="D38" s="245" t="s">
        <v>296</v>
      </c>
      <c r="E38" s="85" t="s">
        <v>106</v>
      </c>
      <c r="F38" s="85" t="s">
        <v>108</v>
      </c>
      <c r="G38" s="13"/>
      <c r="H38" s="14"/>
    </row>
    <row r="39" spans="1:8" x14ac:dyDescent="0.25">
      <c r="A39" s="97" t="s">
        <v>305</v>
      </c>
      <c r="B39" s="98">
        <f>F26/100*B22</f>
        <v>16131.991247264772</v>
      </c>
      <c r="C39" s="99">
        <f>$F$27/100*B22</f>
        <v>7600.0350109409201</v>
      </c>
      <c r="D39" s="100">
        <f>B21</f>
        <v>356.91710616325003</v>
      </c>
      <c r="E39" s="99">
        <f>B39/D39</f>
        <v>45.198145363999934</v>
      </c>
      <c r="F39" s="98">
        <f>C39/D39</f>
        <v>21.293557746892485</v>
      </c>
      <c r="G39" s="12"/>
      <c r="H39" s="87"/>
    </row>
    <row r="40" spans="1:8" x14ac:dyDescent="0.25">
      <c r="A40" s="97" t="s">
        <v>306</v>
      </c>
      <c r="B40" s="98">
        <f>F26/100*C22</f>
        <v>2419.7986870897157</v>
      </c>
      <c r="C40" s="99">
        <f>$F$27/100*C22</f>
        <v>1140.0052516411379</v>
      </c>
      <c r="D40" s="100">
        <f>C21</f>
        <v>53.537565924487502</v>
      </c>
      <c r="E40" s="99">
        <f>B40/D40</f>
        <v>45.198145363999934</v>
      </c>
      <c r="F40" s="98">
        <f>C40/D40</f>
        <v>21.293557746892482</v>
      </c>
      <c r="G40" s="12"/>
      <c r="H40" s="87"/>
    </row>
    <row r="41" spans="1:8" x14ac:dyDescent="0.25">
      <c r="A41" s="97" t="s">
        <v>307</v>
      </c>
      <c r="B41" s="98">
        <f>F26/100*D22</f>
        <v>9275.8949671772425</v>
      </c>
      <c r="C41" s="99">
        <f>$F$27/100*D22</f>
        <v>4370.0201312910285</v>
      </c>
      <c r="D41" s="100">
        <f>D21</f>
        <v>205.22733604386875</v>
      </c>
      <c r="E41" s="99">
        <f>B41/D41/6</f>
        <v>7.5330242273333221</v>
      </c>
      <c r="F41" s="98">
        <f>C41/D41/6</f>
        <v>3.5489262911487476</v>
      </c>
      <c r="G41" s="12"/>
      <c r="H41" s="87"/>
    </row>
    <row r="42" spans="1:8" x14ac:dyDescent="0.25">
      <c r="A42" s="97" t="s">
        <v>308</v>
      </c>
      <c r="B42" s="98">
        <f>F26/100*E22</f>
        <v>55655.369803063455</v>
      </c>
      <c r="C42" s="99">
        <f>$F$27/100*E22</f>
        <v>26220.120787746167</v>
      </c>
      <c r="D42" s="100">
        <f>E21</f>
        <v>1231.3640162632125</v>
      </c>
      <c r="E42" s="99">
        <f>B42/D42</f>
        <v>45.198145363999927</v>
      </c>
      <c r="F42" s="98">
        <f>C42/D42</f>
        <v>21.293557746892482</v>
      </c>
      <c r="G42" s="12"/>
      <c r="H42" s="87"/>
    </row>
    <row r="43" spans="1:8" x14ac:dyDescent="0.25">
      <c r="A43" s="97" t="s">
        <v>309</v>
      </c>
      <c r="B43" s="98">
        <f>F26/100*F22</f>
        <v>55655.369803063455</v>
      </c>
      <c r="C43" s="99">
        <f>$F$27/100*F22</f>
        <v>26220.120787746167</v>
      </c>
      <c r="D43" s="100">
        <f>F21</f>
        <v>1231.3640162632125</v>
      </c>
      <c r="E43" s="99">
        <f>B43/D43</f>
        <v>45.198145363999927</v>
      </c>
      <c r="F43" s="98">
        <f>C43/D43</f>
        <v>21.293557746892482</v>
      </c>
      <c r="G43" s="12"/>
      <c r="H43" s="87"/>
    </row>
    <row r="44" spans="1:8" x14ac:dyDescent="0.25">
      <c r="A44" s="97" t="s">
        <v>310</v>
      </c>
      <c r="B44" s="98">
        <f>F26/100*G22</f>
        <v>45169.575492341362</v>
      </c>
      <c r="C44" s="99">
        <f>$F$27/100*G22</f>
        <v>21280.098030634574</v>
      </c>
      <c r="D44" s="246">
        <f>G21</f>
        <v>999.36789725710014</v>
      </c>
      <c r="E44" s="99">
        <f>B44/D44</f>
        <v>45.198145363999934</v>
      </c>
      <c r="F44" s="98">
        <f>C44/D44</f>
        <v>21.293557746892482</v>
      </c>
      <c r="G44" s="12"/>
      <c r="H44" s="87"/>
    </row>
    <row r="45" spans="1:8" x14ac:dyDescent="0.25">
      <c r="A45" s="97" t="s">
        <v>30</v>
      </c>
      <c r="B45" s="98">
        <f>SUM(B39:B44)</f>
        <v>184308</v>
      </c>
      <c r="C45" s="98">
        <f>SUM(C39:C44)</f>
        <v>86830.399999999994</v>
      </c>
      <c r="D45" s="98">
        <f>SUM(D39:D44)</f>
        <v>4077.7779379151311</v>
      </c>
      <c r="E45" s="98">
        <f>B45/D45</f>
        <v>45.198145363999934</v>
      </c>
      <c r="F45" s="98">
        <f>C45/D45</f>
        <v>21.293557746892482</v>
      </c>
      <c r="G45" s="12"/>
      <c r="H45" s="87"/>
    </row>
    <row r="46" spans="1:8" ht="30.75" customHeight="1" x14ac:dyDescent="0.25">
      <c r="A46" s="513" t="s">
        <v>257</v>
      </c>
      <c r="B46" s="513"/>
      <c r="C46" s="513"/>
      <c r="D46" s="513"/>
      <c r="E46" s="513"/>
      <c r="F46" s="513"/>
      <c r="G46" s="513"/>
      <c r="H46" s="3"/>
    </row>
    <row r="47" spans="1:8" x14ac:dyDescent="0.25">
      <c r="A47" s="3"/>
      <c r="B47" s="3"/>
      <c r="C47" s="3"/>
      <c r="D47" s="3"/>
      <c r="E47" s="3"/>
      <c r="F47" s="3"/>
      <c r="G47" s="3"/>
      <c r="H47" s="3"/>
    </row>
    <row r="48" spans="1:8" x14ac:dyDescent="0.25">
      <c r="A48" s="87"/>
      <c r="B48" s="87"/>
      <c r="C48" s="87"/>
      <c r="D48" s="87"/>
      <c r="E48" s="87"/>
      <c r="F48" s="87"/>
      <c r="G48" s="87"/>
      <c r="H48" s="87"/>
    </row>
    <row r="49" spans="1:8" ht="15.75" x14ac:dyDescent="0.25">
      <c r="A49" s="385" t="s">
        <v>55</v>
      </c>
      <c r="B49" s="385"/>
      <c r="C49" s="385"/>
      <c r="D49" s="31"/>
      <c r="E49" s="509" t="s">
        <v>57</v>
      </c>
      <c r="F49" s="509"/>
      <c r="G49" s="509"/>
      <c r="H49" s="31"/>
    </row>
    <row r="50" spans="1:8" ht="15.75" x14ac:dyDescent="0.25">
      <c r="A50" s="379" t="s">
        <v>56</v>
      </c>
      <c r="B50" s="379"/>
      <c r="C50" s="379"/>
      <c r="D50" s="31"/>
      <c r="E50" s="31"/>
      <c r="F50" s="84"/>
      <c r="G50" s="31"/>
      <c r="H50" s="31"/>
    </row>
  </sheetData>
  <mergeCells count="38">
    <mergeCell ref="A49:C49"/>
    <mergeCell ref="E49:G49"/>
    <mergeCell ref="A50:C50"/>
    <mergeCell ref="E35:F35"/>
    <mergeCell ref="A36:F36"/>
    <mergeCell ref="A37:A38"/>
    <mergeCell ref="B37:D37"/>
    <mergeCell ref="E37:F37"/>
    <mergeCell ref="A46:G46"/>
    <mergeCell ref="A27:E27"/>
    <mergeCell ref="A29:A30"/>
    <mergeCell ref="B29:D29"/>
    <mergeCell ref="B30:D30"/>
    <mergeCell ref="A32:B33"/>
    <mergeCell ref="C32:E32"/>
    <mergeCell ref="C33:E33"/>
    <mergeCell ref="A26:E26"/>
    <mergeCell ref="A9:F9"/>
    <mergeCell ref="A11:G11"/>
    <mergeCell ref="A13:C13"/>
    <mergeCell ref="G14:H14"/>
    <mergeCell ref="A15:H15"/>
    <mergeCell ref="A16:A17"/>
    <mergeCell ref="B16:B17"/>
    <mergeCell ref="C16:C17"/>
    <mergeCell ref="D16:D17"/>
    <mergeCell ref="E16:E17"/>
    <mergeCell ref="F16:F17"/>
    <mergeCell ref="G16:G17"/>
    <mergeCell ref="H16:H17"/>
    <mergeCell ref="A24:D24"/>
    <mergeCell ref="A25:G25"/>
    <mergeCell ref="A7:F7"/>
    <mergeCell ref="A1:H1"/>
    <mergeCell ref="A2:H2"/>
    <mergeCell ref="A3:E3"/>
    <mergeCell ref="A4:F4"/>
    <mergeCell ref="A5:F5"/>
  </mergeCells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G52"/>
  <sheetViews>
    <sheetView topLeftCell="A22" workbookViewId="0">
      <selection activeCell="F26" sqref="F26"/>
    </sheetView>
  </sheetViews>
  <sheetFormatPr defaultRowHeight="15" x14ac:dyDescent="0.25"/>
  <cols>
    <col min="1" max="1" width="5.5703125" customWidth="1"/>
    <col min="2" max="2" width="30.28515625" customWidth="1"/>
    <col min="3" max="3" width="6.85546875" customWidth="1"/>
    <col min="4" max="4" width="13.5703125" customWidth="1"/>
    <col min="5" max="5" width="10.85546875" customWidth="1"/>
    <col min="6" max="6" width="17.7109375" customWidth="1"/>
    <col min="7" max="7" width="13.28515625" customWidth="1"/>
  </cols>
  <sheetData>
    <row r="1" spans="1:7" ht="15.75" x14ac:dyDescent="0.25">
      <c r="A1" s="31"/>
      <c r="B1" s="31"/>
      <c r="C1" s="290"/>
      <c r="D1" s="290"/>
      <c r="E1" s="63"/>
      <c r="F1" s="63"/>
      <c r="G1" s="64" t="s">
        <v>59</v>
      </c>
    </row>
    <row r="2" spans="1:7" ht="15.75" x14ac:dyDescent="0.25">
      <c r="A2" s="31"/>
      <c r="B2" s="31"/>
      <c r="C2" s="290"/>
      <c r="D2" s="290"/>
      <c r="E2" s="63"/>
      <c r="F2" s="63"/>
      <c r="G2" s="64" t="s">
        <v>60</v>
      </c>
    </row>
    <row r="3" spans="1:7" ht="15.75" x14ac:dyDescent="0.25">
      <c r="A3" s="31"/>
      <c r="B3" s="31"/>
      <c r="C3" s="290"/>
      <c r="D3" s="290"/>
      <c r="E3" s="63"/>
      <c r="F3" s="63"/>
      <c r="G3" s="64" t="s">
        <v>388</v>
      </c>
    </row>
    <row r="4" spans="1:7" ht="15.75" x14ac:dyDescent="0.25">
      <c r="A4" s="31"/>
      <c r="B4" s="31"/>
      <c r="C4" s="290"/>
      <c r="D4" s="290"/>
      <c r="E4" s="63"/>
      <c r="F4" s="63"/>
      <c r="G4" s="64" t="s">
        <v>389</v>
      </c>
    </row>
    <row r="5" spans="1:7" ht="15.75" x14ac:dyDescent="0.25">
      <c r="A5" s="31"/>
      <c r="B5" s="31"/>
      <c r="C5" s="290"/>
      <c r="D5" s="290"/>
      <c r="E5" s="31"/>
      <c r="F5" s="42"/>
      <c r="G5" s="31"/>
    </row>
    <row r="6" spans="1:7" ht="15.75" x14ac:dyDescent="0.25">
      <c r="A6" s="396" t="s">
        <v>93</v>
      </c>
      <c r="B6" s="396"/>
      <c r="C6" s="396"/>
      <c r="D6" s="396"/>
      <c r="E6" s="396"/>
      <c r="F6" s="396"/>
      <c r="G6" s="396"/>
    </row>
    <row r="7" spans="1:7" ht="15.75" x14ac:dyDescent="0.25">
      <c r="A7" s="396" t="s">
        <v>319</v>
      </c>
      <c r="B7" s="396"/>
      <c r="C7" s="396"/>
      <c r="D7" s="396"/>
      <c r="E7" s="396"/>
      <c r="F7" s="396"/>
      <c r="G7" s="396"/>
    </row>
    <row r="8" spans="1:7" x14ac:dyDescent="0.25">
      <c r="A8" s="514" t="s">
        <v>13</v>
      </c>
      <c r="B8" s="516" t="s">
        <v>95</v>
      </c>
      <c r="C8" s="517"/>
      <c r="D8" s="517"/>
      <c r="E8" s="518"/>
      <c r="F8" s="522" t="s">
        <v>96</v>
      </c>
      <c r="G8" s="522"/>
    </row>
    <row r="9" spans="1:7" x14ac:dyDescent="0.25">
      <c r="A9" s="515"/>
      <c r="B9" s="519"/>
      <c r="C9" s="520"/>
      <c r="D9" s="520"/>
      <c r="E9" s="521"/>
      <c r="F9" s="136" t="s">
        <v>97</v>
      </c>
      <c r="G9" s="136" t="s">
        <v>62</v>
      </c>
    </row>
    <row r="10" spans="1:7" ht="15.75" x14ac:dyDescent="0.25">
      <c r="A10" s="109"/>
      <c r="B10" s="109" t="s">
        <v>153</v>
      </c>
      <c r="C10" s="109"/>
      <c r="D10" s="113"/>
      <c r="E10" s="113"/>
      <c r="F10" s="112">
        <v>74.34</v>
      </c>
      <c r="G10" s="113" t="s">
        <v>98</v>
      </c>
    </row>
    <row r="11" spans="1:7" ht="12" customHeight="1" x14ac:dyDescent="0.25">
      <c r="A11" s="109"/>
      <c r="B11" s="109"/>
      <c r="C11" s="109"/>
      <c r="D11" s="113"/>
      <c r="E11" s="113"/>
      <c r="F11" s="112"/>
      <c r="G11" s="113"/>
    </row>
    <row r="12" spans="1:7" ht="15.75" x14ac:dyDescent="0.25">
      <c r="A12" s="109"/>
      <c r="B12" s="109" t="s">
        <v>318</v>
      </c>
      <c r="C12" s="109"/>
      <c r="D12" s="113"/>
      <c r="E12" s="166">
        <v>0.25</v>
      </c>
      <c r="F12" s="112">
        <f>F10*E12</f>
        <v>18.585000000000001</v>
      </c>
      <c r="G12" s="113" t="s">
        <v>98</v>
      </c>
    </row>
    <row r="13" spans="1:7" ht="12" customHeight="1" x14ac:dyDescent="0.25">
      <c r="A13" s="109"/>
      <c r="B13" s="109"/>
      <c r="C13" s="109"/>
      <c r="D13" s="113"/>
      <c r="E13" s="113"/>
      <c r="F13" s="112"/>
      <c r="G13" s="113"/>
    </row>
    <row r="14" spans="1:7" ht="15.75" x14ac:dyDescent="0.25">
      <c r="A14" s="109"/>
      <c r="B14" s="109" t="s">
        <v>100</v>
      </c>
      <c r="C14" s="109"/>
      <c r="D14" s="113"/>
      <c r="E14" s="166">
        <v>0.1</v>
      </c>
      <c r="F14" s="112">
        <f>F10*E14</f>
        <v>7.4340000000000011</v>
      </c>
      <c r="G14" s="113" t="s">
        <v>98</v>
      </c>
    </row>
    <row r="15" spans="1:7" ht="12" customHeight="1" x14ac:dyDescent="0.25">
      <c r="A15" s="109"/>
      <c r="B15" s="109"/>
      <c r="C15" s="109"/>
      <c r="D15" s="113"/>
      <c r="E15" s="113"/>
      <c r="F15" s="112"/>
      <c r="G15" s="113"/>
    </row>
    <row r="16" spans="1:7" ht="15.75" x14ac:dyDescent="0.25">
      <c r="A16" s="109"/>
      <c r="B16" s="109" t="s">
        <v>101</v>
      </c>
      <c r="C16" s="109"/>
      <c r="D16" s="113"/>
      <c r="E16" s="166">
        <v>0.4</v>
      </c>
      <c r="F16" s="112">
        <f>SUM(F10)*E16</f>
        <v>29.736000000000004</v>
      </c>
      <c r="G16" s="113" t="s">
        <v>98</v>
      </c>
    </row>
    <row r="17" spans="1:7" ht="12" customHeight="1" x14ac:dyDescent="0.25">
      <c r="A17" s="109"/>
      <c r="B17" s="109"/>
      <c r="C17" s="109"/>
      <c r="D17" s="113"/>
      <c r="E17" s="166"/>
      <c r="F17" s="112"/>
      <c r="G17" s="113"/>
    </row>
    <row r="18" spans="1:7" ht="15.75" x14ac:dyDescent="0.25">
      <c r="A18" s="109"/>
      <c r="B18" s="109" t="s">
        <v>102</v>
      </c>
      <c r="C18" s="109"/>
      <c r="D18" s="113"/>
      <c r="E18" s="113"/>
      <c r="F18" s="112">
        <v>60</v>
      </c>
      <c r="G18" s="113" t="s">
        <v>103</v>
      </c>
    </row>
    <row r="19" spans="1:7" ht="12" customHeight="1" x14ac:dyDescent="0.25">
      <c r="A19" s="109"/>
      <c r="B19" s="109"/>
      <c r="C19" s="109"/>
      <c r="D19" s="113"/>
      <c r="E19" s="113"/>
      <c r="F19" s="112"/>
      <c r="G19" s="109"/>
    </row>
    <row r="20" spans="1:7" ht="15.75" x14ac:dyDescent="0.25">
      <c r="A20" s="117">
        <v>1</v>
      </c>
      <c r="B20" s="118" t="s">
        <v>104</v>
      </c>
      <c r="C20" s="118"/>
      <c r="D20" s="117"/>
      <c r="E20" s="117"/>
      <c r="F20" s="121">
        <f>F10+F12+F14+F16</f>
        <v>130.09500000000003</v>
      </c>
      <c r="G20" s="117" t="s">
        <v>98</v>
      </c>
    </row>
    <row r="21" spans="1:7" ht="12" customHeight="1" x14ac:dyDescent="0.25">
      <c r="A21" s="113"/>
      <c r="B21" s="109"/>
      <c r="C21" s="109"/>
      <c r="D21" s="113"/>
      <c r="E21" s="113"/>
      <c r="F21" s="112"/>
      <c r="G21" s="113"/>
    </row>
    <row r="22" spans="1:7" ht="15.75" x14ac:dyDescent="0.25">
      <c r="A22" s="117">
        <v>2</v>
      </c>
      <c r="B22" s="118" t="s">
        <v>105</v>
      </c>
      <c r="C22" s="118"/>
      <c r="D22" s="117"/>
      <c r="E22" s="168">
        <v>0.30199999999999999</v>
      </c>
      <c r="F22" s="121">
        <f>E22*F20</f>
        <v>39.28869000000001</v>
      </c>
      <c r="G22" s="117" t="s">
        <v>98</v>
      </c>
    </row>
    <row r="23" spans="1:7" ht="12" customHeight="1" x14ac:dyDescent="0.25">
      <c r="A23" s="113"/>
      <c r="B23" s="109"/>
      <c r="C23" s="109"/>
      <c r="D23" s="113"/>
      <c r="E23" s="166"/>
      <c r="F23" s="112"/>
      <c r="G23" s="113"/>
    </row>
    <row r="24" spans="1:7" ht="15.75" x14ac:dyDescent="0.25">
      <c r="A24" s="117">
        <v>3</v>
      </c>
      <c r="B24" s="118" t="s">
        <v>106</v>
      </c>
      <c r="C24" s="118"/>
      <c r="D24" s="117"/>
      <c r="E24" s="168"/>
      <c r="F24" s="121">
        <f>'Пробег ЭО 2626'!E25</f>
        <v>69.520213357085737</v>
      </c>
      <c r="G24" s="117" t="s">
        <v>98</v>
      </c>
    </row>
    <row r="25" spans="1:7" ht="12" customHeight="1" x14ac:dyDescent="0.25">
      <c r="A25" s="113"/>
      <c r="B25" s="109"/>
      <c r="C25" s="109"/>
      <c r="D25" s="113"/>
      <c r="E25" s="166"/>
      <c r="F25" s="112"/>
      <c r="G25" s="113"/>
    </row>
    <row r="26" spans="1:7" ht="15.75" x14ac:dyDescent="0.25">
      <c r="A26" s="117">
        <v>4</v>
      </c>
      <c r="B26" s="118" t="s">
        <v>108</v>
      </c>
      <c r="C26" s="118"/>
      <c r="D26" s="117"/>
      <c r="E26" s="168"/>
      <c r="F26" s="121">
        <f>'Пробег ЭО 2626'!F25</f>
        <v>178.68930281548026</v>
      </c>
      <c r="G26" s="117" t="s">
        <v>98</v>
      </c>
    </row>
    <row r="27" spans="1:7" ht="12" customHeight="1" x14ac:dyDescent="0.25">
      <c r="A27" s="113"/>
      <c r="B27" s="109"/>
      <c r="C27" s="109"/>
      <c r="D27" s="113"/>
      <c r="E27" s="166"/>
      <c r="F27" s="112"/>
      <c r="G27" s="113"/>
    </row>
    <row r="28" spans="1:7" ht="15.75" x14ac:dyDescent="0.25">
      <c r="A28" s="117">
        <v>5</v>
      </c>
      <c r="B28" s="118" t="s">
        <v>156</v>
      </c>
      <c r="C28" s="118"/>
      <c r="D28" s="117"/>
      <c r="E28" s="171"/>
      <c r="F28" s="124">
        <v>13.53</v>
      </c>
      <c r="G28" s="113" t="s">
        <v>111</v>
      </c>
    </row>
    <row r="29" spans="1:7" ht="15.75" x14ac:dyDescent="0.25">
      <c r="A29" s="113"/>
      <c r="B29" s="109"/>
      <c r="C29" s="140" t="s">
        <v>320</v>
      </c>
      <c r="D29" s="113"/>
      <c r="E29" s="198">
        <v>34.53</v>
      </c>
      <c r="F29" s="126">
        <f>F28*E29</f>
        <v>467.1909</v>
      </c>
      <c r="G29" s="117" t="s">
        <v>98</v>
      </c>
    </row>
    <row r="30" spans="1:7" ht="12" customHeight="1" x14ac:dyDescent="0.25">
      <c r="A30" s="113"/>
      <c r="B30" s="109"/>
      <c r="C30" s="109"/>
      <c r="D30" s="113"/>
      <c r="E30" s="170"/>
      <c r="F30" s="112"/>
      <c r="G30" s="113"/>
    </row>
    <row r="31" spans="1:7" ht="15.75" x14ac:dyDescent="0.25">
      <c r="A31" s="117">
        <v>6</v>
      </c>
      <c r="B31" s="118" t="s">
        <v>112</v>
      </c>
      <c r="C31" s="109"/>
      <c r="D31" s="113"/>
      <c r="E31" s="170"/>
      <c r="F31" s="112"/>
      <c r="G31" s="104"/>
    </row>
    <row r="32" spans="1:7" ht="15.75" x14ac:dyDescent="0.25">
      <c r="A32" s="113"/>
      <c r="B32" s="109" t="s">
        <v>113</v>
      </c>
      <c r="C32" s="200">
        <v>3.2000000000000001E-2</v>
      </c>
      <c r="D32" s="176" t="s">
        <v>191</v>
      </c>
      <c r="E32" s="158">
        <v>186.99</v>
      </c>
      <c r="F32" s="112">
        <f>C32*$F$28*E32</f>
        <v>80.959190400000011</v>
      </c>
      <c r="G32" s="113" t="s">
        <v>98</v>
      </c>
    </row>
    <row r="33" spans="1:7" ht="15.75" x14ac:dyDescent="0.25">
      <c r="A33" s="113"/>
      <c r="B33" s="109" t="s">
        <v>115</v>
      </c>
      <c r="C33" s="200">
        <v>4.0000000000000001E-3</v>
      </c>
      <c r="D33" s="178" t="s">
        <v>116</v>
      </c>
      <c r="E33" s="158">
        <v>107.82</v>
      </c>
      <c r="F33" s="112">
        <f>C33*$F$28*E33</f>
        <v>5.8352183999999996</v>
      </c>
      <c r="G33" s="113" t="s">
        <v>98</v>
      </c>
    </row>
    <row r="34" spans="1:7" ht="15.75" x14ac:dyDescent="0.25">
      <c r="A34" s="113"/>
      <c r="B34" s="109" t="s">
        <v>117</v>
      </c>
      <c r="C34" s="200">
        <v>1E-3</v>
      </c>
      <c r="D34" s="178" t="s">
        <v>116</v>
      </c>
      <c r="E34" s="158">
        <v>75.260000000000005</v>
      </c>
      <c r="F34" s="112">
        <f>C34*$F$28*E34</f>
        <v>1.0182678000000001</v>
      </c>
      <c r="G34" s="113" t="s">
        <v>98</v>
      </c>
    </row>
    <row r="35" spans="1:7" ht="15.75" x14ac:dyDescent="0.25">
      <c r="A35" s="113"/>
      <c r="B35" s="109" t="s">
        <v>118</v>
      </c>
      <c r="C35" s="202">
        <v>3.0000000000000001E-3</v>
      </c>
      <c r="D35" s="179" t="s">
        <v>116</v>
      </c>
      <c r="E35" s="158">
        <v>132.04</v>
      </c>
      <c r="F35" s="112">
        <f>C35*$F$28*E35</f>
        <v>5.3595036</v>
      </c>
      <c r="G35" s="113" t="s">
        <v>98</v>
      </c>
    </row>
    <row r="36" spans="1:7" ht="15.75" x14ac:dyDescent="0.25">
      <c r="A36" s="113"/>
      <c r="B36" s="109" t="s">
        <v>119</v>
      </c>
      <c r="C36" s="109"/>
      <c r="D36" s="180"/>
      <c r="E36" s="171"/>
      <c r="F36" s="121">
        <f>SUM(F32:F35)</f>
        <v>93.172180200000014</v>
      </c>
      <c r="G36" s="117" t="s">
        <v>98</v>
      </c>
    </row>
    <row r="37" spans="1:7" ht="12" customHeight="1" x14ac:dyDescent="0.25">
      <c r="A37" s="113"/>
      <c r="B37" s="109"/>
      <c r="C37" s="109"/>
      <c r="D37" s="180"/>
      <c r="E37" s="168"/>
      <c r="F37" s="121"/>
      <c r="G37" s="117"/>
    </row>
    <row r="38" spans="1:7" ht="15.75" x14ac:dyDescent="0.25">
      <c r="A38" s="117">
        <v>7</v>
      </c>
      <c r="B38" s="118" t="s">
        <v>120</v>
      </c>
      <c r="C38" s="118"/>
      <c r="D38" s="117"/>
      <c r="E38" s="122">
        <v>0.6</v>
      </c>
      <c r="F38" s="121">
        <f>F20*E38</f>
        <v>78.057000000000016</v>
      </c>
      <c r="G38" s="117" t="s">
        <v>98</v>
      </c>
    </row>
    <row r="39" spans="1:7" ht="12" customHeight="1" x14ac:dyDescent="0.25">
      <c r="A39" s="113"/>
      <c r="B39" s="109"/>
      <c r="C39" s="109"/>
      <c r="D39" s="113"/>
      <c r="E39" s="166"/>
      <c r="F39" s="112"/>
      <c r="G39" s="113"/>
    </row>
    <row r="40" spans="1:7" ht="15.75" x14ac:dyDescent="0.25">
      <c r="A40" s="117">
        <v>8</v>
      </c>
      <c r="B40" s="118" t="s">
        <v>121</v>
      </c>
      <c r="C40" s="118"/>
      <c r="D40" s="117"/>
      <c r="E40" s="168"/>
      <c r="F40" s="121">
        <f>F20+F22+F24+F26+F29+F36+F38</f>
        <v>1056.013286372566</v>
      </c>
      <c r="G40" s="117" t="s">
        <v>98</v>
      </c>
    </row>
    <row r="41" spans="1:7" ht="12" customHeight="1" x14ac:dyDescent="0.25">
      <c r="A41" s="117"/>
      <c r="B41" s="118"/>
      <c r="C41" s="118"/>
      <c r="D41" s="117"/>
      <c r="E41" s="168"/>
      <c r="F41" s="121"/>
      <c r="G41" s="117"/>
    </row>
    <row r="42" spans="1:7" ht="15.75" x14ac:dyDescent="0.25">
      <c r="A42" s="117">
        <v>9</v>
      </c>
      <c r="B42" s="118" t="s">
        <v>122</v>
      </c>
      <c r="C42" s="118"/>
      <c r="D42" s="117"/>
      <c r="E42" s="168"/>
      <c r="F42" s="121"/>
      <c r="G42" s="117"/>
    </row>
    <row r="43" spans="1:7" ht="15.75" x14ac:dyDescent="0.25">
      <c r="A43" s="113"/>
      <c r="B43" s="109" t="s">
        <v>123</v>
      </c>
      <c r="C43" s="109"/>
      <c r="D43" s="113"/>
      <c r="E43" s="166">
        <v>0.1</v>
      </c>
      <c r="F43" s="112">
        <f>F40*E43</f>
        <v>105.6013286372566</v>
      </c>
      <c r="G43" s="113" t="s">
        <v>98</v>
      </c>
    </row>
    <row r="44" spans="1:7" ht="15.75" x14ac:dyDescent="0.25">
      <c r="A44" s="113"/>
      <c r="B44" s="109" t="s">
        <v>124</v>
      </c>
      <c r="C44" s="109"/>
      <c r="D44" s="113"/>
      <c r="E44" s="166">
        <v>0.15</v>
      </c>
      <c r="F44" s="112">
        <f>F40*E44</f>
        <v>158.40199295588488</v>
      </c>
      <c r="G44" s="113" t="s">
        <v>98</v>
      </c>
    </row>
    <row r="45" spans="1:7" ht="12" customHeight="1" x14ac:dyDescent="0.25">
      <c r="A45" s="113"/>
      <c r="B45" s="109"/>
      <c r="C45" s="109"/>
      <c r="D45" s="113"/>
      <c r="E45" s="166"/>
      <c r="F45" s="112"/>
      <c r="G45" s="113"/>
    </row>
    <row r="46" spans="1:7" ht="15.75" x14ac:dyDescent="0.25">
      <c r="A46" s="117">
        <v>10</v>
      </c>
      <c r="B46" s="118" t="s">
        <v>125</v>
      </c>
      <c r="C46" s="118"/>
      <c r="D46" s="117"/>
      <c r="E46" s="168"/>
      <c r="F46" s="121"/>
      <c r="G46" s="117"/>
    </row>
    <row r="47" spans="1:7" ht="15.75" x14ac:dyDescent="0.25">
      <c r="A47" s="113"/>
      <c r="B47" s="109" t="s">
        <v>123</v>
      </c>
      <c r="C47" s="109"/>
      <c r="D47" s="113"/>
      <c r="E47" s="166"/>
      <c r="F47" s="121">
        <f>F40+F43</f>
        <v>1161.6146150098225</v>
      </c>
      <c r="G47" s="117" t="s">
        <v>98</v>
      </c>
    </row>
    <row r="48" spans="1:7" ht="15.75" x14ac:dyDescent="0.25">
      <c r="A48" s="113"/>
      <c r="B48" s="109" t="s">
        <v>124</v>
      </c>
      <c r="C48" s="109"/>
      <c r="D48" s="113"/>
      <c r="E48" s="166"/>
      <c r="F48" s="121">
        <f>F40+F44</f>
        <v>1214.4152793284509</v>
      </c>
      <c r="G48" s="117" t="s">
        <v>98</v>
      </c>
    </row>
    <row r="49" spans="1:7" ht="15.75" x14ac:dyDescent="0.25">
      <c r="A49" s="104"/>
      <c r="B49" s="104"/>
      <c r="C49" s="104"/>
      <c r="D49" s="135"/>
      <c r="E49" s="135"/>
      <c r="F49" s="108"/>
      <c r="G49" s="163"/>
    </row>
    <row r="50" spans="1:7" ht="0.75" customHeight="1" x14ac:dyDescent="0.25">
      <c r="A50" s="104"/>
      <c r="B50" s="104"/>
      <c r="C50" s="104"/>
      <c r="D50" s="135"/>
      <c r="E50" s="135"/>
      <c r="F50" s="108"/>
      <c r="G50" s="104"/>
    </row>
    <row r="51" spans="1:7" ht="15.75" x14ac:dyDescent="0.25">
      <c r="A51" s="31"/>
      <c r="B51" s="83" t="s">
        <v>55</v>
      </c>
      <c r="C51" s="83"/>
      <c r="D51" s="83"/>
      <c r="E51" s="31"/>
      <c r="F51" s="62" t="s">
        <v>57</v>
      </c>
      <c r="G51" s="31"/>
    </row>
    <row r="52" spans="1:7" ht="15.75" x14ac:dyDescent="0.25">
      <c r="A52" s="31"/>
      <c r="B52" s="84" t="s">
        <v>56</v>
      </c>
      <c r="C52" s="83"/>
      <c r="D52" s="83"/>
      <c r="E52" s="31"/>
      <c r="F52" s="42"/>
      <c r="G52" s="31"/>
    </row>
  </sheetData>
  <mergeCells count="5">
    <mergeCell ref="A6:G6"/>
    <mergeCell ref="A7:G7"/>
    <mergeCell ref="A8:A9"/>
    <mergeCell ref="B8:E9"/>
    <mergeCell ref="F8:G8"/>
  </mergeCells>
  <pageMargins left="0.25" right="0.25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2"/>
  <sheetViews>
    <sheetView workbookViewId="0">
      <selection activeCell="B8" sqref="B8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20" t="s">
        <v>321</v>
      </c>
      <c r="B1" s="320"/>
      <c r="C1" s="320"/>
      <c r="D1" s="320"/>
      <c r="E1" s="320"/>
      <c r="F1" s="320"/>
      <c r="G1" s="320"/>
    </row>
    <row r="2" spans="1:7" x14ac:dyDescent="0.25">
      <c r="A2" s="319" t="s">
        <v>130</v>
      </c>
      <c r="B2" s="319"/>
      <c r="C2" s="319"/>
      <c r="D2" s="319"/>
      <c r="E2" s="319"/>
      <c r="F2" s="319"/>
      <c r="G2" s="3"/>
    </row>
    <row r="3" spans="1:7" x14ac:dyDescent="0.25">
      <c r="A3" s="87"/>
      <c r="B3" s="5">
        <f>'План. расчет времени'!F59</f>
        <v>1316.676480836237</v>
      </c>
      <c r="C3" s="3" t="s">
        <v>131</v>
      </c>
      <c r="D3" s="3"/>
      <c r="E3" s="3"/>
      <c r="F3" s="3"/>
      <c r="G3" s="3"/>
    </row>
    <row r="4" spans="1:7" x14ac:dyDescent="0.25">
      <c r="A4" s="319" t="s">
        <v>132</v>
      </c>
      <c r="B4" s="319"/>
      <c r="C4" s="319"/>
      <c r="D4" s="319"/>
      <c r="E4" s="319"/>
      <c r="F4" s="319"/>
      <c r="G4" s="86"/>
    </row>
    <row r="5" spans="1:7" x14ac:dyDescent="0.25">
      <c r="A5" s="3"/>
      <c r="B5" s="3">
        <v>40</v>
      </c>
      <c r="C5" s="3" t="s">
        <v>131</v>
      </c>
      <c r="D5" s="3"/>
      <c r="E5" s="3"/>
      <c r="F5" s="3"/>
      <c r="G5" s="86"/>
    </row>
    <row r="6" spans="1:7" x14ac:dyDescent="0.25">
      <c r="A6" s="319" t="s">
        <v>168</v>
      </c>
      <c r="B6" s="319"/>
      <c r="C6" s="319"/>
      <c r="D6" s="319"/>
      <c r="E6" s="319"/>
      <c r="F6" s="319"/>
      <c r="G6" s="319"/>
    </row>
    <row r="7" spans="1:7" x14ac:dyDescent="0.25">
      <c r="A7" s="3"/>
      <c r="B7" s="3">
        <v>100</v>
      </c>
      <c r="C7" s="3" t="s">
        <v>131</v>
      </c>
      <c r="D7" s="87"/>
      <c r="E7" s="87"/>
      <c r="F7" s="3"/>
      <c r="G7" s="3"/>
    </row>
    <row r="8" spans="1:7" x14ac:dyDescent="0.25">
      <c r="A8" s="86"/>
      <c r="B8" s="86"/>
      <c r="C8" s="86"/>
      <c r="D8" s="3"/>
      <c r="E8" s="3"/>
      <c r="F8" s="3"/>
      <c r="G8" s="3"/>
    </row>
    <row r="9" spans="1:7" x14ac:dyDescent="0.25">
      <c r="A9" s="406" t="s">
        <v>136</v>
      </c>
      <c r="B9" s="406"/>
      <c r="C9" s="406"/>
      <c r="D9" s="149">
        <f>B3-B5-B7</f>
        <v>1176.676480836237</v>
      </c>
      <c r="E9" s="150" t="s">
        <v>131</v>
      </c>
      <c r="F9" s="150"/>
      <c r="G9" s="9"/>
    </row>
    <row r="10" spans="1:7" x14ac:dyDescent="0.25">
      <c r="A10" s="86"/>
      <c r="B10" s="86"/>
      <c r="C10" s="86"/>
      <c r="D10" s="86"/>
      <c r="E10" s="86"/>
      <c r="F10" s="86"/>
      <c r="G10" s="86"/>
    </row>
    <row r="11" spans="1:7" x14ac:dyDescent="0.25">
      <c r="A11" s="319" t="s">
        <v>169</v>
      </c>
      <c r="B11" s="319"/>
      <c r="C11" s="3">
        <v>81802.8</v>
      </c>
      <c r="D11" s="3" t="s">
        <v>98</v>
      </c>
      <c r="E11" s="3"/>
      <c r="F11" s="86"/>
      <c r="G11" s="86"/>
    </row>
    <row r="12" spans="1:7" x14ac:dyDescent="0.25">
      <c r="A12" s="86"/>
      <c r="B12" s="86"/>
      <c r="C12" s="86"/>
      <c r="D12" s="86"/>
      <c r="E12" s="86"/>
      <c r="F12" s="86"/>
      <c r="G12" s="86"/>
    </row>
    <row r="13" spans="1:7" x14ac:dyDescent="0.25">
      <c r="A13" s="319" t="s">
        <v>170</v>
      </c>
      <c r="B13" s="319"/>
      <c r="C13" s="319"/>
      <c r="D13" s="319"/>
      <c r="E13" s="319"/>
      <c r="F13" s="298">
        <f>'[1]ЭО-2626 на базе МТЗ-82'!$F$31</f>
        <v>210259.5</v>
      </c>
      <c r="G13" s="3" t="s">
        <v>98</v>
      </c>
    </row>
    <row r="14" spans="1:7" x14ac:dyDescent="0.25">
      <c r="A14" s="86"/>
      <c r="B14" s="86"/>
      <c r="C14" s="3"/>
      <c r="D14" s="3"/>
      <c r="E14" s="3"/>
      <c r="F14" s="87"/>
      <c r="G14" s="87"/>
    </row>
    <row r="15" spans="1:7" ht="15.75" thickBot="1" x14ac:dyDescent="0.3">
      <c r="A15" s="378" t="s">
        <v>138</v>
      </c>
      <c r="B15" s="376" t="s">
        <v>139</v>
      </c>
      <c r="C15" s="376"/>
      <c r="D15" s="376"/>
      <c r="E15" s="3"/>
      <c r="F15" s="87"/>
      <c r="G15" s="87"/>
    </row>
    <row r="16" spans="1:7" x14ac:dyDescent="0.25">
      <c r="A16" s="378"/>
      <c r="B16" s="377" t="s">
        <v>140</v>
      </c>
      <c r="C16" s="377"/>
      <c r="D16" s="377"/>
      <c r="E16" s="3"/>
      <c r="F16" s="87"/>
      <c r="G16" s="87"/>
    </row>
    <row r="17" spans="1:7" x14ac:dyDescent="0.25">
      <c r="A17" s="90"/>
      <c r="B17" s="91"/>
      <c r="C17" s="91"/>
      <c r="D17" s="91"/>
      <c r="E17" s="3"/>
      <c r="F17" s="87"/>
      <c r="G17" s="87"/>
    </row>
    <row r="18" spans="1:7" ht="15.75" thickBot="1" x14ac:dyDescent="0.3">
      <c r="A18" s="375" t="s">
        <v>141</v>
      </c>
      <c r="B18" s="375"/>
      <c r="C18" s="376" t="s">
        <v>142</v>
      </c>
      <c r="D18" s="376"/>
      <c r="E18" s="376"/>
      <c r="F18" s="87"/>
      <c r="G18" s="87"/>
    </row>
    <row r="19" spans="1:7" x14ac:dyDescent="0.25">
      <c r="A19" s="375"/>
      <c r="B19" s="375"/>
      <c r="C19" s="377" t="s">
        <v>140</v>
      </c>
      <c r="D19" s="377"/>
      <c r="E19" s="377"/>
      <c r="F19" s="87"/>
      <c r="G19" s="87"/>
    </row>
    <row r="20" spans="1:7" x14ac:dyDescent="0.25">
      <c r="A20" s="9"/>
      <c r="B20" s="9"/>
      <c r="C20" s="92"/>
      <c r="D20" s="92"/>
      <c r="E20" s="92"/>
      <c r="F20" s="87"/>
      <c r="G20" s="87"/>
    </row>
    <row r="21" spans="1:7" x14ac:dyDescent="0.25">
      <c r="A21" s="9"/>
      <c r="B21" s="9"/>
      <c r="C21" s="92"/>
      <c r="D21" s="92"/>
      <c r="E21" s="323" t="s">
        <v>12</v>
      </c>
      <c r="F21" s="323"/>
      <c r="G21" s="87"/>
    </row>
    <row r="22" spans="1:7" x14ac:dyDescent="0.25">
      <c r="A22" s="324" t="s">
        <v>143</v>
      </c>
      <c r="B22" s="324"/>
      <c r="C22" s="324"/>
      <c r="D22" s="324"/>
      <c r="E22" s="324"/>
      <c r="F22" s="324"/>
      <c r="G22" s="87"/>
    </row>
    <row r="23" spans="1:7" x14ac:dyDescent="0.25">
      <c r="A23" s="380" t="s">
        <v>144</v>
      </c>
      <c r="B23" s="382" t="s">
        <v>15</v>
      </c>
      <c r="C23" s="383"/>
      <c r="D23" s="383"/>
      <c r="E23" s="384" t="s">
        <v>145</v>
      </c>
      <c r="F23" s="384"/>
      <c r="G23" s="93"/>
    </row>
    <row r="24" spans="1:7" ht="45" x14ac:dyDescent="0.25">
      <c r="A24" s="381"/>
      <c r="B24" s="94" t="s">
        <v>146</v>
      </c>
      <c r="C24" s="94" t="s">
        <v>147</v>
      </c>
      <c r="D24" s="95" t="s">
        <v>148</v>
      </c>
      <c r="E24" s="94" t="s">
        <v>149</v>
      </c>
      <c r="F24" s="94" t="s">
        <v>150</v>
      </c>
      <c r="G24" s="96"/>
    </row>
    <row r="25" spans="1:7" x14ac:dyDescent="0.25">
      <c r="A25" s="97" t="s">
        <v>322</v>
      </c>
      <c r="B25" s="98">
        <f>C11</f>
        <v>81802.8</v>
      </c>
      <c r="C25" s="99">
        <f>F13</f>
        <v>210259.5</v>
      </c>
      <c r="D25" s="100">
        <f>D9</f>
        <v>1176.676480836237</v>
      </c>
      <c r="E25" s="99">
        <f>B25/D25</f>
        <v>69.520213357085737</v>
      </c>
      <c r="F25" s="98">
        <f>C25/D25</f>
        <v>178.68930281548026</v>
      </c>
      <c r="G25" s="12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x14ac:dyDescent="0.25">
      <c r="A29" s="87"/>
      <c r="B29" s="87"/>
      <c r="C29" s="87"/>
      <c r="D29" s="87"/>
      <c r="E29" s="87"/>
      <c r="F29" s="87"/>
      <c r="G29" s="87"/>
    </row>
    <row r="30" spans="1:7" ht="15.75" x14ac:dyDescent="0.25">
      <c r="A30" s="385" t="s">
        <v>55</v>
      </c>
      <c r="B30" s="385"/>
      <c r="C30" s="385"/>
      <c r="D30" s="31"/>
      <c r="E30" s="343" t="s">
        <v>57</v>
      </c>
      <c r="F30" s="343"/>
      <c r="G30" s="343"/>
    </row>
    <row r="31" spans="1:7" ht="15.75" x14ac:dyDescent="0.25">
      <c r="A31" s="379" t="s">
        <v>56</v>
      </c>
      <c r="B31" s="379"/>
      <c r="C31" s="379"/>
      <c r="D31" s="31"/>
      <c r="E31" s="31"/>
      <c r="F31" s="84"/>
      <c r="G31" s="31"/>
    </row>
    <row r="32" spans="1:7" x14ac:dyDescent="0.25">
      <c r="A32" s="87"/>
      <c r="B32" s="87"/>
      <c r="C32" s="87"/>
      <c r="D32" s="87"/>
      <c r="E32" s="87"/>
      <c r="F32" s="87"/>
      <c r="G32" s="87"/>
    </row>
  </sheetData>
  <mergeCells count="21">
    <mergeCell ref="A31:C31"/>
    <mergeCell ref="E21:F21"/>
    <mergeCell ref="A22:F22"/>
    <mergeCell ref="A23:A24"/>
    <mergeCell ref="B23:D23"/>
    <mergeCell ref="E23:F23"/>
    <mergeCell ref="A30:C30"/>
    <mergeCell ref="E30:G30"/>
    <mergeCell ref="A13:E13"/>
    <mergeCell ref="A15:A16"/>
    <mergeCell ref="B15:D15"/>
    <mergeCell ref="B16:D16"/>
    <mergeCell ref="A18:B19"/>
    <mergeCell ref="C18:E18"/>
    <mergeCell ref="C19:E19"/>
    <mergeCell ref="A11:B11"/>
    <mergeCell ref="A1:G1"/>
    <mergeCell ref="A2:F2"/>
    <mergeCell ref="A4:F4"/>
    <mergeCell ref="A6:G6"/>
    <mergeCell ref="A9:C9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51"/>
  <sheetViews>
    <sheetView workbookViewId="0">
      <selection activeCell="F25" sqref="F25"/>
    </sheetView>
  </sheetViews>
  <sheetFormatPr defaultRowHeight="15" x14ac:dyDescent="0.25"/>
  <cols>
    <col min="1" max="1" width="6.140625" customWidth="1"/>
    <col min="2" max="2" width="28.7109375" customWidth="1"/>
    <col min="3" max="3" width="8.85546875" customWidth="1"/>
    <col min="4" max="4" width="13.85546875" customWidth="1"/>
    <col min="5" max="5" width="9.28515625" customWidth="1"/>
    <col min="6" max="6" width="18" customWidth="1"/>
    <col min="7" max="7" width="12" customWidth="1"/>
  </cols>
  <sheetData>
    <row r="1" spans="1:7" ht="15.75" x14ac:dyDescent="0.25">
      <c r="A1" s="31"/>
      <c r="B1" s="31"/>
      <c r="C1" s="290"/>
      <c r="D1" s="290"/>
      <c r="E1" s="63"/>
      <c r="F1" s="63"/>
      <c r="G1" s="64" t="s">
        <v>59</v>
      </c>
    </row>
    <row r="2" spans="1:7" ht="15.75" x14ac:dyDescent="0.25">
      <c r="A2" s="31"/>
      <c r="B2" s="31"/>
      <c r="C2" s="290"/>
      <c r="D2" s="290"/>
      <c r="E2" s="63"/>
      <c r="F2" s="63"/>
      <c r="G2" s="64" t="s">
        <v>60</v>
      </c>
    </row>
    <row r="3" spans="1:7" ht="15.75" x14ac:dyDescent="0.25">
      <c r="A3" s="31"/>
      <c r="B3" s="31"/>
      <c r="C3" s="290"/>
      <c r="D3" s="290"/>
      <c r="E3" s="63"/>
      <c r="F3" s="63"/>
      <c r="G3" s="64" t="s">
        <v>388</v>
      </c>
    </row>
    <row r="4" spans="1:7" ht="15.75" x14ac:dyDescent="0.25">
      <c r="A4" s="31"/>
      <c r="B4" s="31"/>
      <c r="C4" s="290"/>
      <c r="D4" s="290"/>
      <c r="E4" s="63"/>
      <c r="F4" s="63"/>
      <c r="G4" s="64" t="s">
        <v>389</v>
      </c>
    </row>
    <row r="5" spans="1:7" ht="15.75" x14ac:dyDescent="0.25">
      <c r="A5" s="31"/>
      <c r="B5" s="31"/>
      <c r="C5" s="290"/>
      <c r="D5" s="290"/>
      <c r="E5" s="31"/>
      <c r="F5" s="42"/>
      <c r="G5" s="31"/>
    </row>
    <row r="6" spans="1:7" ht="15.75" x14ac:dyDescent="0.25">
      <c r="A6" s="396" t="s">
        <v>93</v>
      </c>
      <c r="B6" s="396"/>
      <c r="C6" s="396"/>
      <c r="D6" s="396"/>
      <c r="E6" s="396"/>
      <c r="F6" s="396"/>
      <c r="G6" s="396"/>
    </row>
    <row r="7" spans="1:7" ht="15.75" x14ac:dyDescent="0.25">
      <c r="A7" s="410" t="s">
        <v>323</v>
      </c>
      <c r="B7" s="410"/>
      <c r="C7" s="410"/>
      <c r="D7" s="410"/>
      <c r="E7" s="410"/>
      <c r="F7" s="410"/>
      <c r="G7" s="410"/>
    </row>
    <row r="8" spans="1:7" x14ac:dyDescent="0.25">
      <c r="A8" s="411" t="s">
        <v>13</v>
      </c>
      <c r="B8" s="413" t="s">
        <v>95</v>
      </c>
      <c r="C8" s="414"/>
      <c r="D8" s="414"/>
      <c r="E8" s="415"/>
      <c r="F8" s="421" t="s">
        <v>96</v>
      </c>
      <c r="G8" s="421"/>
    </row>
    <row r="9" spans="1:7" x14ac:dyDescent="0.25">
      <c r="A9" s="412"/>
      <c r="B9" s="416"/>
      <c r="C9" s="417"/>
      <c r="D9" s="417"/>
      <c r="E9" s="418"/>
      <c r="F9" s="65" t="s">
        <v>97</v>
      </c>
      <c r="G9" s="65" t="s">
        <v>62</v>
      </c>
    </row>
    <row r="10" spans="1:7" ht="15.75" x14ac:dyDescent="0.25">
      <c r="A10" s="109"/>
      <c r="B10" s="109" t="s">
        <v>153</v>
      </c>
      <c r="C10" s="109"/>
      <c r="D10" s="113"/>
      <c r="E10" s="109"/>
      <c r="F10" s="112">
        <v>62.85</v>
      </c>
      <c r="G10" s="113" t="s">
        <v>98</v>
      </c>
    </row>
    <row r="11" spans="1:7" ht="12" customHeight="1" x14ac:dyDescent="0.25">
      <c r="A11" s="109"/>
      <c r="B11" s="109"/>
      <c r="C11" s="109"/>
      <c r="D11" s="113"/>
      <c r="E11" s="109"/>
      <c r="F11" s="112"/>
      <c r="G11" s="113"/>
    </row>
    <row r="12" spans="1:7" ht="15.75" x14ac:dyDescent="0.25">
      <c r="A12" s="109"/>
      <c r="B12" s="109" t="s">
        <v>318</v>
      </c>
      <c r="C12" s="109"/>
      <c r="D12" s="113"/>
      <c r="E12" s="138">
        <v>0.25</v>
      </c>
      <c r="F12" s="112">
        <f>F10*E12</f>
        <v>15.7125</v>
      </c>
      <c r="G12" s="113" t="s">
        <v>98</v>
      </c>
    </row>
    <row r="13" spans="1:7" ht="12" customHeight="1" x14ac:dyDescent="0.25">
      <c r="A13" s="109"/>
      <c r="B13" s="109"/>
      <c r="C13" s="109"/>
      <c r="D13" s="113"/>
      <c r="E13" s="109"/>
      <c r="F13" s="112"/>
      <c r="G13" s="113"/>
    </row>
    <row r="14" spans="1:7" ht="15.75" x14ac:dyDescent="0.25">
      <c r="A14" s="109"/>
      <c r="B14" s="109" t="s">
        <v>100</v>
      </c>
      <c r="C14" s="109"/>
      <c r="D14" s="113"/>
      <c r="E14" s="138">
        <v>0.1</v>
      </c>
      <c r="F14" s="112">
        <f>F10*E14</f>
        <v>6.2850000000000001</v>
      </c>
      <c r="G14" s="113" t="s">
        <v>98</v>
      </c>
    </row>
    <row r="15" spans="1:7" ht="12" customHeight="1" x14ac:dyDescent="0.25">
      <c r="A15" s="109"/>
      <c r="B15" s="109"/>
      <c r="C15" s="109"/>
      <c r="D15" s="113"/>
      <c r="E15" s="109"/>
      <c r="F15" s="112"/>
      <c r="G15" s="113"/>
    </row>
    <row r="16" spans="1:7" ht="15.75" x14ac:dyDescent="0.25">
      <c r="A16" s="109"/>
      <c r="B16" s="109" t="s">
        <v>101</v>
      </c>
      <c r="C16" s="109"/>
      <c r="D16" s="113"/>
      <c r="E16" s="138">
        <v>0.4</v>
      </c>
      <c r="F16" s="112">
        <f>F10*E16</f>
        <v>25.14</v>
      </c>
      <c r="G16" s="113" t="s">
        <v>98</v>
      </c>
    </row>
    <row r="17" spans="1:7" ht="12" customHeight="1" x14ac:dyDescent="0.25">
      <c r="A17" s="109"/>
      <c r="B17" s="109"/>
      <c r="C17" s="109"/>
      <c r="D17" s="113"/>
      <c r="E17" s="138"/>
      <c r="F17" s="112"/>
      <c r="G17" s="113"/>
    </row>
    <row r="18" spans="1:7" ht="15.75" x14ac:dyDescent="0.25">
      <c r="A18" s="109"/>
      <c r="B18" s="109" t="s">
        <v>102</v>
      </c>
      <c r="C18" s="109"/>
      <c r="D18" s="113"/>
      <c r="E18" s="109"/>
      <c r="F18" s="112">
        <v>60</v>
      </c>
      <c r="G18" s="113" t="s">
        <v>103</v>
      </c>
    </row>
    <row r="19" spans="1:7" ht="12" customHeight="1" x14ac:dyDescent="0.25">
      <c r="A19" s="109"/>
      <c r="B19" s="109"/>
      <c r="C19" s="109"/>
      <c r="D19" s="113"/>
      <c r="E19" s="109"/>
      <c r="F19" s="112"/>
      <c r="G19" s="109"/>
    </row>
    <row r="20" spans="1:7" ht="15.75" x14ac:dyDescent="0.25">
      <c r="A20" s="117">
        <v>1</v>
      </c>
      <c r="B20" s="118" t="s">
        <v>104</v>
      </c>
      <c r="C20" s="118"/>
      <c r="D20" s="117"/>
      <c r="E20" s="118"/>
      <c r="F20" s="121">
        <f>F10+F12+F14+F16</f>
        <v>109.9875</v>
      </c>
      <c r="G20" s="117" t="s">
        <v>98</v>
      </c>
    </row>
    <row r="21" spans="1:7" ht="12" customHeight="1" x14ac:dyDescent="0.25">
      <c r="A21" s="113"/>
      <c r="B21" s="109"/>
      <c r="C21" s="109"/>
      <c r="D21" s="113"/>
      <c r="E21" s="109"/>
      <c r="F21" s="112"/>
      <c r="G21" s="113"/>
    </row>
    <row r="22" spans="1:7" ht="15.75" x14ac:dyDescent="0.25">
      <c r="A22" s="117">
        <v>2</v>
      </c>
      <c r="B22" s="118" t="s">
        <v>105</v>
      </c>
      <c r="C22" s="118"/>
      <c r="D22" s="117"/>
      <c r="E22" s="139">
        <v>0.30199999999999999</v>
      </c>
      <c r="F22" s="121">
        <f>E22*F20</f>
        <v>33.216225000000001</v>
      </c>
      <c r="G22" s="117" t="s">
        <v>98</v>
      </c>
    </row>
    <row r="23" spans="1:7" ht="12" customHeight="1" x14ac:dyDescent="0.25">
      <c r="A23" s="113"/>
      <c r="B23" s="109"/>
      <c r="C23" s="109"/>
      <c r="D23" s="113"/>
      <c r="E23" s="138"/>
      <c r="F23" s="112"/>
      <c r="G23" s="113"/>
    </row>
    <row r="24" spans="1:7" ht="15.75" x14ac:dyDescent="0.25">
      <c r="A24" s="117">
        <v>3</v>
      </c>
      <c r="B24" s="118" t="s">
        <v>106</v>
      </c>
      <c r="C24" s="118"/>
      <c r="D24" s="117"/>
      <c r="E24" s="139"/>
      <c r="F24" s="121">
        <f>'Пробег МТЗ-80'!E25</f>
        <v>5.0215174619181431</v>
      </c>
      <c r="G24" s="117" t="s">
        <v>98</v>
      </c>
    </row>
    <row r="25" spans="1:7" ht="12" customHeight="1" x14ac:dyDescent="0.25">
      <c r="A25" s="113"/>
      <c r="B25" s="109"/>
      <c r="C25" s="109"/>
      <c r="D25" s="113"/>
      <c r="E25" s="138"/>
      <c r="F25" s="112"/>
      <c r="G25" s="113"/>
    </row>
    <row r="26" spans="1:7" ht="15.75" x14ac:dyDescent="0.25">
      <c r="A26" s="117">
        <v>4</v>
      </c>
      <c r="B26" s="118" t="s">
        <v>108</v>
      </c>
      <c r="C26" s="118"/>
      <c r="D26" s="117"/>
      <c r="E26" s="139"/>
      <c r="F26" s="121">
        <f>'Пробег МТЗ-80'!F25</f>
        <v>146.12383472968088</v>
      </c>
      <c r="G26" s="117" t="s">
        <v>98</v>
      </c>
    </row>
    <row r="27" spans="1:7" ht="12" customHeight="1" x14ac:dyDescent="0.25">
      <c r="A27" s="113"/>
      <c r="B27" s="109"/>
      <c r="C27" s="109"/>
      <c r="D27" s="113"/>
      <c r="E27" s="138"/>
      <c r="F27" s="112"/>
      <c r="G27" s="113"/>
    </row>
    <row r="28" spans="1:7" ht="15.75" x14ac:dyDescent="0.25">
      <c r="A28" s="117">
        <v>5</v>
      </c>
      <c r="B28" s="118" t="s">
        <v>156</v>
      </c>
      <c r="C28" s="118"/>
      <c r="D28" s="117"/>
      <c r="E28" s="121"/>
      <c r="F28" s="124">
        <v>9.9499999999999993</v>
      </c>
      <c r="G28" s="113" t="s">
        <v>111</v>
      </c>
    </row>
    <row r="29" spans="1:7" ht="15.75" x14ac:dyDescent="0.25">
      <c r="A29" s="113"/>
      <c r="B29" s="109"/>
      <c r="C29" s="140" t="s">
        <v>324</v>
      </c>
      <c r="D29" s="113"/>
      <c r="E29" s="108">
        <v>34.53</v>
      </c>
      <c r="F29" s="126">
        <f>F28*E29</f>
        <v>343.57349999999997</v>
      </c>
      <c r="G29" s="117" t="s">
        <v>98</v>
      </c>
    </row>
    <row r="30" spans="1:7" ht="12" customHeight="1" x14ac:dyDescent="0.25">
      <c r="A30" s="113"/>
      <c r="B30" s="109"/>
      <c r="C30" s="109"/>
      <c r="D30" s="113"/>
      <c r="E30" s="112"/>
      <c r="F30" s="112"/>
      <c r="G30" s="113"/>
    </row>
    <row r="31" spans="1:7" ht="15.75" x14ac:dyDescent="0.25">
      <c r="A31" s="117">
        <v>6</v>
      </c>
      <c r="B31" s="118" t="s">
        <v>112</v>
      </c>
      <c r="C31" s="118"/>
      <c r="D31" s="117"/>
      <c r="E31" s="121"/>
      <c r="F31" s="121"/>
      <c r="G31" s="117"/>
    </row>
    <row r="32" spans="1:7" ht="15.75" x14ac:dyDescent="0.25">
      <c r="A32" s="113"/>
      <c r="B32" s="109" t="s">
        <v>113</v>
      </c>
      <c r="C32" s="200">
        <v>3.2000000000000001E-2</v>
      </c>
      <c r="D32" s="176" t="s">
        <v>114</v>
      </c>
      <c r="E32" s="158">
        <v>186.99</v>
      </c>
      <c r="F32" s="112">
        <f>C32*$F$28*E32</f>
        <v>59.537615999999993</v>
      </c>
      <c r="G32" s="113" t="s">
        <v>98</v>
      </c>
    </row>
    <row r="33" spans="1:7" ht="15.75" x14ac:dyDescent="0.25">
      <c r="A33" s="113"/>
      <c r="B33" s="109" t="s">
        <v>115</v>
      </c>
      <c r="C33" s="200">
        <v>4.0000000000000001E-3</v>
      </c>
      <c r="D33" s="178" t="s">
        <v>116</v>
      </c>
      <c r="E33" s="158">
        <v>107.82</v>
      </c>
      <c r="F33" s="112">
        <f>C33*$F$28*E33</f>
        <v>4.2912359999999996</v>
      </c>
      <c r="G33" s="113" t="s">
        <v>98</v>
      </c>
    </row>
    <row r="34" spans="1:7" ht="15.75" x14ac:dyDescent="0.25">
      <c r="A34" s="113"/>
      <c r="B34" s="109" t="s">
        <v>117</v>
      </c>
      <c r="C34" s="200">
        <v>1E-3</v>
      </c>
      <c r="D34" s="178" t="s">
        <v>116</v>
      </c>
      <c r="E34" s="158">
        <v>75.260000000000005</v>
      </c>
      <c r="F34" s="112">
        <f>C34*$F$28*E34</f>
        <v>0.74883699999999997</v>
      </c>
      <c r="G34" s="113" t="s">
        <v>98</v>
      </c>
    </row>
    <row r="35" spans="1:7" ht="15.75" x14ac:dyDescent="0.25">
      <c r="A35" s="113"/>
      <c r="B35" s="109" t="s">
        <v>118</v>
      </c>
      <c r="C35" s="202">
        <v>3.0000000000000001E-3</v>
      </c>
      <c r="D35" s="179" t="s">
        <v>116</v>
      </c>
      <c r="E35" s="158">
        <v>132.04</v>
      </c>
      <c r="F35" s="112">
        <f>C35*$F$28*E35</f>
        <v>3.9413939999999994</v>
      </c>
      <c r="G35" s="113" t="s">
        <v>98</v>
      </c>
    </row>
    <row r="36" spans="1:7" ht="15.75" x14ac:dyDescent="0.25">
      <c r="A36" s="113"/>
      <c r="B36" s="109" t="s">
        <v>119</v>
      </c>
      <c r="C36" s="118"/>
      <c r="D36" s="180"/>
      <c r="E36" s="121"/>
      <c r="F36" s="121">
        <f>SUM(F32:F35)</f>
        <v>68.519082999999995</v>
      </c>
      <c r="G36" s="113" t="s">
        <v>98</v>
      </c>
    </row>
    <row r="37" spans="1:7" ht="12" customHeight="1" x14ac:dyDescent="0.25">
      <c r="A37" s="113"/>
      <c r="B37" s="109"/>
      <c r="C37" s="109"/>
      <c r="D37" s="113"/>
      <c r="E37" s="138"/>
      <c r="F37" s="112"/>
      <c r="G37" s="113"/>
    </row>
    <row r="38" spans="1:7" ht="15.75" x14ac:dyDescent="0.25">
      <c r="A38" s="117">
        <v>7</v>
      </c>
      <c r="B38" s="118" t="s">
        <v>120</v>
      </c>
      <c r="C38" s="118"/>
      <c r="D38" s="117"/>
      <c r="E38" s="122">
        <v>0.6</v>
      </c>
      <c r="F38" s="121">
        <f>F20*E38</f>
        <v>65.992499999999993</v>
      </c>
      <c r="G38" s="117" t="s">
        <v>98</v>
      </c>
    </row>
    <row r="39" spans="1:7" ht="12" customHeight="1" x14ac:dyDescent="0.25">
      <c r="A39" s="113"/>
      <c r="B39" s="109"/>
      <c r="C39" s="109"/>
      <c r="D39" s="113"/>
      <c r="E39" s="138"/>
      <c r="F39" s="112"/>
      <c r="G39" s="113"/>
    </row>
    <row r="40" spans="1:7" ht="15.75" x14ac:dyDescent="0.25">
      <c r="A40" s="117">
        <v>8</v>
      </c>
      <c r="B40" s="118" t="s">
        <v>121</v>
      </c>
      <c r="C40" s="118"/>
      <c r="D40" s="117"/>
      <c r="E40" s="139"/>
      <c r="F40" s="121">
        <f>F20+F22+F24+F26+F29+F36+F38</f>
        <v>772.43416019159895</v>
      </c>
      <c r="G40" s="117" t="s">
        <v>98</v>
      </c>
    </row>
    <row r="41" spans="1:7" ht="12" customHeight="1" x14ac:dyDescent="0.25">
      <c r="A41" s="117"/>
      <c r="B41" s="118"/>
      <c r="C41" s="118"/>
      <c r="D41" s="117"/>
      <c r="E41" s="139"/>
      <c r="F41" s="121"/>
      <c r="G41" s="117"/>
    </row>
    <row r="42" spans="1:7" ht="15.75" x14ac:dyDescent="0.25">
      <c r="A42" s="117">
        <v>9</v>
      </c>
      <c r="B42" s="118" t="s">
        <v>122</v>
      </c>
      <c r="C42" s="118"/>
      <c r="D42" s="117"/>
      <c r="E42" s="139"/>
      <c r="F42" s="121"/>
      <c r="G42" s="117"/>
    </row>
    <row r="43" spans="1:7" ht="15.75" x14ac:dyDescent="0.25">
      <c r="A43" s="113"/>
      <c r="B43" s="109" t="s">
        <v>123</v>
      </c>
      <c r="C43" s="109"/>
      <c r="D43" s="113"/>
      <c r="E43" s="138">
        <v>0.1</v>
      </c>
      <c r="F43" s="112">
        <f>F40*E43</f>
        <v>77.243416019159895</v>
      </c>
      <c r="G43" s="113" t="s">
        <v>98</v>
      </c>
    </row>
    <row r="44" spans="1:7" ht="15.75" x14ac:dyDescent="0.25">
      <c r="A44" s="113"/>
      <c r="B44" s="109" t="s">
        <v>124</v>
      </c>
      <c r="C44" s="109"/>
      <c r="D44" s="113"/>
      <c r="E44" s="138">
        <v>0.15</v>
      </c>
      <c r="F44" s="112">
        <f>F40*E44</f>
        <v>115.86512402873984</v>
      </c>
      <c r="G44" s="113" t="s">
        <v>98</v>
      </c>
    </row>
    <row r="45" spans="1:7" ht="12" customHeight="1" x14ac:dyDescent="0.25">
      <c r="A45" s="113"/>
      <c r="B45" s="109"/>
      <c r="C45" s="109"/>
      <c r="D45" s="113"/>
      <c r="E45" s="138"/>
      <c r="F45" s="112"/>
      <c r="G45" s="113"/>
    </row>
    <row r="46" spans="1:7" ht="15.75" x14ac:dyDescent="0.25">
      <c r="A46" s="117">
        <v>10</v>
      </c>
      <c r="B46" s="118" t="s">
        <v>125</v>
      </c>
      <c r="C46" s="118"/>
      <c r="D46" s="117"/>
      <c r="E46" s="139"/>
      <c r="F46" s="121"/>
      <c r="G46" s="117"/>
    </row>
    <row r="47" spans="1:7" ht="15.75" x14ac:dyDescent="0.25">
      <c r="A47" s="113"/>
      <c r="B47" s="109" t="s">
        <v>123</v>
      </c>
      <c r="C47" s="109"/>
      <c r="D47" s="113"/>
      <c r="E47" s="138"/>
      <c r="F47" s="121">
        <f>F40+F43</f>
        <v>849.67757621075884</v>
      </c>
      <c r="G47" s="117" t="s">
        <v>98</v>
      </c>
    </row>
    <row r="48" spans="1:7" ht="15.75" x14ac:dyDescent="0.25">
      <c r="A48" s="113"/>
      <c r="B48" s="109" t="s">
        <v>124</v>
      </c>
      <c r="C48" s="109"/>
      <c r="D48" s="113"/>
      <c r="E48" s="138"/>
      <c r="F48" s="121">
        <f>F40+F44</f>
        <v>888.29928422033879</v>
      </c>
      <c r="G48" s="117" t="s">
        <v>98</v>
      </c>
    </row>
    <row r="49" spans="1:7" ht="15.75" x14ac:dyDescent="0.25">
      <c r="A49" s="104"/>
      <c r="B49" s="104"/>
      <c r="C49" s="104"/>
      <c r="D49" s="135"/>
      <c r="E49" s="104"/>
      <c r="F49" s="108"/>
      <c r="G49" s="163"/>
    </row>
    <row r="50" spans="1:7" ht="15.75" x14ac:dyDescent="0.25">
      <c r="A50" s="31"/>
      <c r="B50" s="83" t="s">
        <v>55</v>
      </c>
      <c r="C50" s="83"/>
      <c r="D50" s="83"/>
      <c r="E50" s="31"/>
      <c r="F50" s="62" t="s">
        <v>57</v>
      </c>
      <c r="G50" s="31"/>
    </row>
    <row r="51" spans="1:7" ht="15.75" x14ac:dyDescent="0.25">
      <c r="A51" s="31"/>
      <c r="B51" s="84" t="s">
        <v>56</v>
      </c>
      <c r="C51" s="83"/>
      <c r="D51" s="83"/>
      <c r="E51" s="31"/>
      <c r="F51" s="42"/>
      <c r="G51" s="31"/>
    </row>
  </sheetData>
  <mergeCells count="5">
    <mergeCell ref="A6:G6"/>
    <mergeCell ref="A7:G7"/>
    <mergeCell ref="A8:A9"/>
    <mergeCell ref="B8:E9"/>
    <mergeCell ref="F8:G8"/>
  </mergeCells>
  <pageMargins left="0.25" right="0.25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  <pageSetUpPr fitToPage="1"/>
  </sheetPr>
  <dimension ref="A1:K53"/>
  <sheetViews>
    <sheetView workbookViewId="0">
      <selection activeCell="B10" sqref="B10:G50"/>
    </sheetView>
  </sheetViews>
  <sheetFormatPr defaultRowHeight="15" x14ac:dyDescent="0.25"/>
  <cols>
    <col min="1" max="1" width="4.28515625" customWidth="1"/>
    <col min="2" max="2" width="31" customWidth="1"/>
    <col min="3" max="3" width="7.7109375" customWidth="1"/>
    <col min="4" max="4" width="12.85546875" customWidth="1"/>
    <col min="5" max="5" width="9.42578125" customWidth="1"/>
    <col min="6" max="6" width="18.28515625" customWidth="1"/>
    <col min="7" max="7" width="9.5703125" customWidth="1"/>
  </cols>
  <sheetData>
    <row r="1" spans="1:10" ht="15.75" x14ac:dyDescent="0.25">
      <c r="A1" s="31"/>
      <c r="B1" s="31"/>
      <c r="C1" s="44"/>
      <c r="D1" s="44"/>
      <c r="E1" s="63"/>
      <c r="F1" s="63"/>
      <c r="G1" s="64" t="s">
        <v>59</v>
      </c>
    </row>
    <row r="2" spans="1:10" ht="15.75" x14ac:dyDescent="0.25">
      <c r="A2" s="31"/>
      <c r="B2" s="31"/>
      <c r="C2" s="44"/>
      <c r="D2" s="44"/>
      <c r="E2" s="63"/>
      <c r="F2" s="63"/>
      <c r="G2" s="64" t="s">
        <v>60</v>
      </c>
    </row>
    <row r="3" spans="1:10" ht="15.75" x14ac:dyDescent="0.25">
      <c r="A3" s="31"/>
      <c r="B3" s="31"/>
      <c r="C3" s="44"/>
      <c r="D3" s="44"/>
      <c r="E3" s="63"/>
      <c r="F3" s="63"/>
      <c r="G3" s="64" t="s">
        <v>388</v>
      </c>
    </row>
    <row r="4" spans="1:10" ht="15.75" x14ac:dyDescent="0.25">
      <c r="A4" s="31"/>
      <c r="B4" s="31"/>
      <c r="C4" s="44"/>
      <c r="D4" s="44"/>
      <c r="E4" s="63"/>
      <c r="F4" s="63"/>
      <c r="G4" s="64" t="s">
        <v>389</v>
      </c>
    </row>
    <row r="5" spans="1:10" ht="15.75" x14ac:dyDescent="0.25">
      <c r="A5" s="31"/>
      <c r="B5" s="31"/>
      <c r="C5" s="44"/>
      <c r="D5" s="44"/>
      <c r="E5" s="31"/>
      <c r="F5" s="42"/>
      <c r="G5" s="31"/>
    </row>
    <row r="6" spans="1:10" ht="15.75" x14ac:dyDescent="0.25">
      <c r="A6" s="352" t="s">
        <v>93</v>
      </c>
      <c r="B6" s="352"/>
      <c r="C6" s="352"/>
      <c r="D6" s="352"/>
      <c r="E6" s="352"/>
      <c r="F6" s="352"/>
      <c r="G6" s="352"/>
    </row>
    <row r="7" spans="1:10" ht="15.75" x14ac:dyDescent="0.25">
      <c r="A7" s="352" t="s">
        <v>94</v>
      </c>
      <c r="B7" s="352"/>
      <c r="C7" s="352"/>
      <c r="D7" s="352"/>
      <c r="E7" s="352"/>
      <c r="F7" s="352"/>
      <c r="G7" s="352"/>
    </row>
    <row r="8" spans="1:10" ht="13.5" customHeight="1" x14ac:dyDescent="0.25">
      <c r="A8" s="353" t="s">
        <v>13</v>
      </c>
      <c r="B8" s="369" t="s">
        <v>95</v>
      </c>
      <c r="C8" s="370"/>
      <c r="D8" s="371"/>
      <c r="E8" s="355"/>
      <c r="F8" s="357" t="s">
        <v>96</v>
      </c>
      <c r="G8" s="357"/>
    </row>
    <row r="9" spans="1:10" ht="13.5" customHeight="1" x14ac:dyDescent="0.25">
      <c r="A9" s="354"/>
      <c r="B9" s="372"/>
      <c r="C9" s="373"/>
      <c r="D9" s="374"/>
      <c r="E9" s="356"/>
      <c r="F9" s="65" t="s">
        <v>97</v>
      </c>
      <c r="G9" s="66" t="s">
        <v>62</v>
      </c>
    </row>
    <row r="10" spans="1:10" ht="13.5" customHeight="1" x14ac:dyDescent="0.25">
      <c r="A10" s="67"/>
      <c r="B10" s="360" t="s">
        <v>126</v>
      </c>
      <c r="C10" s="364"/>
      <c r="D10" s="361"/>
      <c r="E10" s="67"/>
      <c r="F10" s="69">
        <v>62.85</v>
      </c>
      <c r="G10" s="68" t="s">
        <v>98</v>
      </c>
    </row>
    <row r="11" spans="1:10" ht="13.5" customHeight="1" x14ac:dyDescent="0.25">
      <c r="A11" s="67"/>
      <c r="B11" s="365"/>
      <c r="C11" s="366"/>
      <c r="D11" s="367"/>
      <c r="E11" s="67"/>
      <c r="F11" s="69"/>
      <c r="G11" s="68"/>
      <c r="J11" t="s">
        <v>364</v>
      </c>
    </row>
    <row r="12" spans="1:10" ht="13.5" customHeight="1" x14ac:dyDescent="0.25">
      <c r="A12" s="67"/>
      <c r="B12" s="360" t="s">
        <v>99</v>
      </c>
      <c r="C12" s="364"/>
      <c r="D12" s="361"/>
      <c r="E12" s="70">
        <v>0.25</v>
      </c>
      <c r="F12" s="69">
        <v>15.7125</v>
      </c>
      <c r="G12" s="68" t="s">
        <v>98</v>
      </c>
    </row>
    <row r="13" spans="1:10" ht="13.5" customHeight="1" x14ac:dyDescent="0.25">
      <c r="A13" s="67"/>
      <c r="B13" s="301"/>
      <c r="C13" s="302"/>
      <c r="D13" s="303"/>
      <c r="E13" s="70"/>
      <c r="F13" s="69"/>
      <c r="G13" s="68"/>
    </row>
    <row r="14" spans="1:10" ht="13.5" customHeight="1" x14ac:dyDescent="0.25">
      <c r="A14" s="67"/>
      <c r="B14" s="301" t="s">
        <v>209</v>
      </c>
      <c r="C14" s="302"/>
      <c r="D14" s="303"/>
      <c r="E14" s="70">
        <v>0.04</v>
      </c>
      <c r="F14" s="69">
        <v>2.5140000000000002</v>
      </c>
      <c r="G14" s="68" t="s">
        <v>98</v>
      </c>
    </row>
    <row r="15" spans="1:10" ht="13.5" customHeight="1" x14ac:dyDescent="0.25">
      <c r="A15" s="67"/>
      <c r="B15" s="360"/>
      <c r="C15" s="364"/>
      <c r="D15" s="361"/>
      <c r="E15" s="70"/>
      <c r="F15" s="69"/>
      <c r="G15" s="68"/>
    </row>
    <row r="16" spans="1:10" ht="13.5" customHeight="1" x14ac:dyDescent="0.25">
      <c r="A16" s="67"/>
      <c r="B16" s="360" t="s">
        <v>100</v>
      </c>
      <c r="C16" s="364"/>
      <c r="D16" s="361"/>
      <c r="E16" s="70">
        <v>0.1</v>
      </c>
      <c r="F16" s="69">
        <v>6.2850000000000001</v>
      </c>
      <c r="G16" s="68" t="s">
        <v>98</v>
      </c>
    </row>
    <row r="17" spans="1:7" ht="13.5" customHeight="1" x14ac:dyDescent="0.25">
      <c r="A17" s="67"/>
      <c r="B17" s="360"/>
      <c r="C17" s="364"/>
      <c r="D17" s="361"/>
      <c r="E17" s="67"/>
      <c r="F17" s="69"/>
      <c r="G17" s="68"/>
    </row>
    <row r="18" spans="1:7" ht="13.5" customHeight="1" x14ac:dyDescent="0.25">
      <c r="A18" s="67"/>
      <c r="B18" s="360" t="s">
        <v>101</v>
      </c>
      <c r="C18" s="364"/>
      <c r="D18" s="361"/>
      <c r="E18" s="70">
        <v>0.4</v>
      </c>
      <c r="F18" s="69">
        <v>25.14</v>
      </c>
      <c r="G18" s="68" t="s">
        <v>98</v>
      </c>
    </row>
    <row r="19" spans="1:7" ht="13.5" customHeight="1" x14ac:dyDescent="0.25">
      <c r="A19" s="67"/>
      <c r="B19" s="360"/>
      <c r="C19" s="364"/>
      <c r="D19" s="361"/>
      <c r="E19" s="70"/>
      <c r="F19" s="69"/>
      <c r="G19" s="68"/>
    </row>
    <row r="20" spans="1:7" ht="13.5" customHeight="1" x14ac:dyDescent="0.25">
      <c r="A20" s="67"/>
      <c r="B20" s="360" t="s">
        <v>102</v>
      </c>
      <c r="C20" s="364"/>
      <c r="D20" s="361"/>
      <c r="E20" s="67"/>
      <c r="F20" s="69">
        <v>60</v>
      </c>
      <c r="G20" s="68" t="s">
        <v>103</v>
      </c>
    </row>
    <row r="21" spans="1:7" ht="13.5" customHeight="1" x14ac:dyDescent="0.25">
      <c r="A21" s="67"/>
      <c r="B21" s="360"/>
      <c r="C21" s="364"/>
      <c r="D21" s="361"/>
      <c r="E21" s="67"/>
      <c r="F21" s="69"/>
      <c r="G21" s="67"/>
    </row>
    <row r="22" spans="1:7" ht="13.5" customHeight="1" x14ac:dyDescent="0.25">
      <c r="A22" s="71">
        <v>1</v>
      </c>
      <c r="B22" s="360" t="s">
        <v>104</v>
      </c>
      <c r="C22" s="364"/>
      <c r="D22" s="361"/>
      <c r="E22" s="72"/>
      <c r="F22" s="73">
        <v>112.50150000000001</v>
      </c>
      <c r="G22" s="71" t="s">
        <v>98</v>
      </c>
    </row>
    <row r="23" spans="1:7" ht="13.5" customHeight="1" x14ac:dyDescent="0.25">
      <c r="A23" s="71"/>
      <c r="B23" s="360"/>
      <c r="C23" s="364"/>
      <c r="D23" s="361"/>
      <c r="E23" s="67"/>
      <c r="F23" s="69"/>
      <c r="G23" s="68"/>
    </row>
    <row r="24" spans="1:7" ht="13.5" customHeight="1" x14ac:dyDescent="0.25">
      <c r="A24" s="71">
        <v>2</v>
      </c>
      <c r="B24" s="360" t="s">
        <v>105</v>
      </c>
      <c r="C24" s="364"/>
      <c r="D24" s="361"/>
      <c r="E24" s="74">
        <v>0.30199999999999999</v>
      </c>
      <c r="F24" s="73">
        <v>33.975453000000002</v>
      </c>
      <c r="G24" s="71" t="s">
        <v>98</v>
      </c>
    </row>
    <row r="25" spans="1:7" ht="13.5" customHeight="1" x14ac:dyDescent="0.25">
      <c r="A25" s="71"/>
      <c r="B25" s="360"/>
      <c r="C25" s="364"/>
      <c r="D25" s="361"/>
      <c r="E25" s="70"/>
      <c r="F25" s="69"/>
      <c r="G25" s="68"/>
    </row>
    <row r="26" spans="1:7" ht="13.5" customHeight="1" x14ac:dyDescent="0.25">
      <c r="A26" s="71">
        <v>3</v>
      </c>
      <c r="B26" s="72" t="s">
        <v>106</v>
      </c>
      <c r="C26" s="358" t="s">
        <v>107</v>
      </c>
      <c r="D26" s="359"/>
      <c r="E26" s="74"/>
      <c r="F26" s="73">
        <v>0</v>
      </c>
      <c r="G26" s="71" t="s">
        <v>98</v>
      </c>
    </row>
    <row r="27" spans="1:7" ht="13.5" customHeight="1" x14ac:dyDescent="0.25">
      <c r="A27" s="71"/>
      <c r="B27" s="360"/>
      <c r="C27" s="364"/>
      <c r="D27" s="361"/>
      <c r="E27" s="70"/>
      <c r="F27" s="69"/>
      <c r="G27" s="68"/>
    </row>
    <row r="28" spans="1:7" ht="13.5" customHeight="1" x14ac:dyDescent="0.25">
      <c r="A28" s="71">
        <v>4</v>
      </c>
      <c r="B28" s="360" t="s">
        <v>108</v>
      </c>
      <c r="C28" s="364"/>
      <c r="D28" s="361"/>
      <c r="E28" s="74"/>
      <c r="F28" s="73">
        <v>222.16033787427747</v>
      </c>
      <c r="G28" s="71" t="s">
        <v>98</v>
      </c>
    </row>
    <row r="29" spans="1:7" ht="13.5" customHeight="1" x14ac:dyDescent="0.25">
      <c r="A29" s="71"/>
      <c r="B29" s="360"/>
      <c r="C29" s="364"/>
      <c r="D29" s="361"/>
      <c r="E29" s="70"/>
      <c r="F29" s="69"/>
      <c r="G29" s="68"/>
    </row>
    <row r="30" spans="1:7" ht="13.5" customHeight="1" x14ac:dyDescent="0.25">
      <c r="A30" s="71">
        <v>5</v>
      </c>
      <c r="B30" s="72" t="s">
        <v>109</v>
      </c>
      <c r="C30" s="360" t="s">
        <v>110</v>
      </c>
      <c r="D30" s="361"/>
      <c r="E30" s="70"/>
      <c r="F30" s="75">
        <v>12.85</v>
      </c>
      <c r="G30" s="68" t="s">
        <v>111</v>
      </c>
    </row>
    <row r="31" spans="1:7" ht="13.5" customHeight="1" x14ac:dyDescent="0.25">
      <c r="A31" s="71"/>
      <c r="B31" s="72"/>
      <c r="C31" s="362">
        <v>12.85</v>
      </c>
      <c r="D31" s="363"/>
      <c r="E31" s="76">
        <v>36.67</v>
      </c>
      <c r="F31" s="77">
        <v>471.20949999999999</v>
      </c>
      <c r="G31" s="71" t="s">
        <v>98</v>
      </c>
    </row>
    <row r="32" spans="1:7" ht="13.5" customHeight="1" x14ac:dyDescent="0.25">
      <c r="A32" s="71"/>
      <c r="B32" s="360"/>
      <c r="C32" s="364"/>
      <c r="D32" s="361"/>
      <c r="E32" s="70"/>
      <c r="F32" s="69"/>
      <c r="G32" s="68"/>
    </row>
    <row r="33" spans="1:11" ht="13.5" customHeight="1" x14ac:dyDescent="0.25">
      <c r="A33" s="71">
        <v>6</v>
      </c>
      <c r="B33" s="360" t="s">
        <v>112</v>
      </c>
      <c r="C33" s="364"/>
      <c r="D33" s="361"/>
      <c r="E33" s="69"/>
      <c r="F33" s="69"/>
      <c r="G33" s="68"/>
    </row>
    <row r="34" spans="1:11" ht="13.5" customHeight="1" x14ac:dyDescent="0.25">
      <c r="A34" s="71"/>
      <c r="B34" s="67" t="s">
        <v>113</v>
      </c>
      <c r="C34" s="304">
        <v>2.1000000000000001E-2</v>
      </c>
      <c r="D34" s="78" t="s">
        <v>114</v>
      </c>
      <c r="E34" s="296">
        <v>186.99</v>
      </c>
      <c r="F34" s="69">
        <v>50.459251500000008</v>
      </c>
      <c r="G34" s="68" t="s">
        <v>98</v>
      </c>
    </row>
    <row r="35" spans="1:11" ht="13.5" customHeight="1" x14ac:dyDescent="0.25">
      <c r="A35" s="71"/>
      <c r="B35" s="67" t="s">
        <v>115</v>
      </c>
      <c r="C35" s="304">
        <v>3.0000000000000001E-3</v>
      </c>
      <c r="D35" s="79" t="s">
        <v>116</v>
      </c>
      <c r="E35" s="296">
        <v>107.82</v>
      </c>
      <c r="F35" s="69">
        <v>4.1564610000000002</v>
      </c>
      <c r="G35" s="68" t="s">
        <v>98</v>
      </c>
    </row>
    <row r="36" spans="1:11" ht="13.5" customHeight="1" x14ac:dyDescent="0.25">
      <c r="A36" s="71"/>
      <c r="B36" s="67" t="s">
        <v>117</v>
      </c>
      <c r="C36" s="304">
        <v>1E-3</v>
      </c>
      <c r="D36" s="79" t="s">
        <v>116</v>
      </c>
      <c r="E36" s="296">
        <v>75.260000000000005</v>
      </c>
      <c r="F36" s="69">
        <v>0.96709100000000003</v>
      </c>
      <c r="G36" s="68" t="s">
        <v>98</v>
      </c>
      <c r="I36" s="368"/>
      <c r="J36" s="368"/>
      <c r="K36" s="368"/>
    </row>
    <row r="37" spans="1:11" ht="13.5" customHeight="1" x14ac:dyDescent="0.25">
      <c r="A37" s="71"/>
      <c r="B37" s="67" t="s">
        <v>118</v>
      </c>
      <c r="C37" s="318">
        <v>3.0000000000000001E-3</v>
      </c>
      <c r="D37" s="81" t="s">
        <v>116</v>
      </c>
      <c r="E37" s="296">
        <v>132.04</v>
      </c>
      <c r="F37" s="69">
        <v>5.0901420000000002</v>
      </c>
      <c r="G37" s="68" t="s">
        <v>98</v>
      </c>
    </row>
    <row r="38" spans="1:11" ht="13.5" customHeight="1" x14ac:dyDescent="0.25">
      <c r="A38" s="71"/>
      <c r="B38" s="360" t="s">
        <v>119</v>
      </c>
      <c r="C38" s="364"/>
      <c r="D38" s="361"/>
      <c r="E38" s="70"/>
      <c r="F38" s="73">
        <v>60.672945500000012</v>
      </c>
      <c r="G38" s="71" t="s">
        <v>98</v>
      </c>
    </row>
    <row r="39" spans="1:11" ht="13.5" customHeight="1" x14ac:dyDescent="0.25">
      <c r="A39" s="71"/>
      <c r="B39" s="360"/>
      <c r="C39" s="364"/>
      <c r="D39" s="361"/>
      <c r="E39" s="70"/>
      <c r="F39" s="69"/>
      <c r="G39" s="68"/>
    </row>
    <row r="40" spans="1:11" ht="13.5" customHeight="1" x14ac:dyDescent="0.25">
      <c r="A40" s="71">
        <v>7</v>
      </c>
      <c r="B40" s="360" t="s">
        <v>120</v>
      </c>
      <c r="C40" s="364"/>
      <c r="D40" s="361"/>
      <c r="E40" s="74">
        <v>0.6</v>
      </c>
      <c r="F40" s="73">
        <v>67.500900000000001</v>
      </c>
      <c r="G40" s="71" t="s">
        <v>98</v>
      </c>
    </row>
    <row r="41" spans="1:11" ht="13.5" customHeight="1" x14ac:dyDescent="0.25">
      <c r="A41" s="68"/>
      <c r="B41" s="360"/>
      <c r="C41" s="364"/>
      <c r="D41" s="361"/>
      <c r="E41" s="70"/>
      <c r="F41" s="69"/>
      <c r="G41" s="68"/>
    </row>
    <row r="42" spans="1:11" ht="13.5" customHeight="1" x14ac:dyDescent="0.25">
      <c r="A42" s="71">
        <v>8</v>
      </c>
      <c r="B42" s="360" t="s">
        <v>121</v>
      </c>
      <c r="C42" s="364"/>
      <c r="D42" s="361"/>
      <c r="E42" s="74"/>
      <c r="F42" s="73">
        <v>968.0206363742775</v>
      </c>
      <c r="G42" s="71" t="s">
        <v>98</v>
      </c>
    </row>
    <row r="43" spans="1:11" ht="13.5" customHeight="1" x14ac:dyDescent="0.25">
      <c r="A43" s="71"/>
      <c r="B43" s="360"/>
      <c r="C43" s="364"/>
      <c r="D43" s="361"/>
      <c r="E43" s="74"/>
      <c r="F43" s="73"/>
      <c r="G43" s="71"/>
    </row>
    <row r="44" spans="1:11" ht="13.5" customHeight="1" x14ac:dyDescent="0.25">
      <c r="A44" s="71">
        <v>9</v>
      </c>
      <c r="B44" s="360" t="s">
        <v>122</v>
      </c>
      <c r="C44" s="364"/>
      <c r="D44" s="361"/>
      <c r="E44" s="74"/>
      <c r="F44" s="73"/>
      <c r="G44" s="71"/>
    </row>
    <row r="45" spans="1:11" ht="13.5" customHeight="1" x14ac:dyDescent="0.25">
      <c r="A45" s="68"/>
      <c r="B45" s="360" t="s">
        <v>123</v>
      </c>
      <c r="C45" s="364"/>
      <c r="D45" s="361"/>
      <c r="E45" s="70">
        <v>0.1</v>
      </c>
      <c r="F45" s="69">
        <v>96.80206363742775</v>
      </c>
      <c r="G45" s="68" t="s">
        <v>98</v>
      </c>
    </row>
    <row r="46" spans="1:11" ht="13.5" customHeight="1" x14ac:dyDescent="0.25">
      <c r="A46" s="68"/>
      <c r="B46" s="360" t="s">
        <v>124</v>
      </c>
      <c r="C46" s="364"/>
      <c r="D46" s="361"/>
      <c r="E46" s="70">
        <v>0.15</v>
      </c>
      <c r="F46" s="69">
        <v>145.20309545614163</v>
      </c>
      <c r="G46" s="68" t="s">
        <v>98</v>
      </c>
    </row>
    <row r="47" spans="1:11" ht="13.5" customHeight="1" x14ac:dyDescent="0.25">
      <c r="A47" s="68"/>
      <c r="B47" s="360"/>
      <c r="C47" s="364"/>
      <c r="D47" s="361"/>
      <c r="E47" s="70"/>
      <c r="F47" s="69"/>
      <c r="G47" s="68"/>
    </row>
    <row r="48" spans="1:11" ht="13.5" customHeight="1" x14ac:dyDescent="0.25">
      <c r="A48" s="71">
        <v>10</v>
      </c>
      <c r="B48" s="360" t="s">
        <v>125</v>
      </c>
      <c r="C48" s="364"/>
      <c r="D48" s="361"/>
      <c r="E48" s="74"/>
      <c r="F48" s="73"/>
      <c r="G48" s="71"/>
    </row>
    <row r="49" spans="1:7" ht="13.5" customHeight="1" x14ac:dyDescent="0.25">
      <c r="A49" s="68"/>
      <c r="B49" s="67" t="s">
        <v>123</v>
      </c>
      <c r="C49" s="68"/>
      <c r="D49" s="68"/>
      <c r="E49" s="70"/>
      <c r="F49" s="69">
        <v>1064.8227000117054</v>
      </c>
      <c r="G49" s="68" t="s">
        <v>98</v>
      </c>
    </row>
    <row r="50" spans="1:7" ht="13.5" customHeight="1" x14ac:dyDescent="0.25">
      <c r="A50" s="68"/>
      <c r="B50" s="67" t="s">
        <v>124</v>
      </c>
      <c r="C50" s="68"/>
      <c r="D50" s="68"/>
      <c r="E50" s="70"/>
      <c r="F50" s="69">
        <v>1113.2237318304192</v>
      </c>
      <c r="G50" s="68" t="s">
        <v>98</v>
      </c>
    </row>
    <row r="51" spans="1:7" ht="13.5" customHeight="1" x14ac:dyDescent="0.25">
      <c r="A51" s="31"/>
      <c r="B51" s="31"/>
      <c r="C51" s="44"/>
      <c r="D51" s="44"/>
      <c r="E51" s="31"/>
      <c r="F51" s="42"/>
      <c r="G51" s="82"/>
    </row>
    <row r="52" spans="1:7" ht="13.5" customHeight="1" x14ac:dyDescent="0.25">
      <c r="A52" s="31"/>
      <c r="B52" s="31"/>
      <c r="C52" s="44"/>
      <c r="D52" s="44"/>
      <c r="E52" s="31"/>
      <c r="F52" s="42"/>
      <c r="G52" s="31"/>
    </row>
    <row r="53" spans="1:7" ht="13.5" customHeight="1" x14ac:dyDescent="0.25">
      <c r="A53" s="31"/>
      <c r="B53" s="44" t="s">
        <v>55</v>
      </c>
      <c r="C53" s="44"/>
      <c r="D53" s="44"/>
      <c r="E53" s="31"/>
      <c r="F53" s="62" t="s">
        <v>57</v>
      </c>
      <c r="G53" s="31"/>
    </row>
  </sheetData>
  <mergeCells count="40">
    <mergeCell ref="I36:K36"/>
    <mergeCell ref="B8:D9"/>
    <mergeCell ref="B43:D43"/>
    <mergeCell ref="B44:D44"/>
    <mergeCell ref="B45:D45"/>
    <mergeCell ref="B25:D25"/>
    <mergeCell ref="B27:D27"/>
    <mergeCell ref="B28:D28"/>
    <mergeCell ref="B29:D29"/>
    <mergeCell ref="B32:D32"/>
    <mergeCell ref="B19:D19"/>
    <mergeCell ref="B20:D20"/>
    <mergeCell ref="B21:D21"/>
    <mergeCell ref="B22:D22"/>
    <mergeCell ref="B23:D23"/>
    <mergeCell ref="B24:D24"/>
    <mergeCell ref="B46:D46"/>
    <mergeCell ref="B47:D47"/>
    <mergeCell ref="B48:D48"/>
    <mergeCell ref="B33:D33"/>
    <mergeCell ref="B38:D38"/>
    <mergeCell ref="B39:D39"/>
    <mergeCell ref="B40:D40"/>
    <mergeCell ref="B41:D41"/>
    <mergeCell ref="B42:D42"/>
    <mergeCell ref="C26:D26"/>
    <mergeCell ref="C30:D30"/>
    <mergeCell ref="C31:D31"/>
    <mergeCell ref="B10:D10"/>
    <mergeCell ref="B11:D11"/>
    <mergeCell ref="B12:D12"/>
    <mergeCell ref="B15:D15"/>
    <mergeCell ref="B16:D16"/>
    <mergeCell ref="B17:D17"/>
    <mergeCell ref="B18:D18"/>
    <mergeCell ref="A6:G6"/>
    <mergeCell ref="A7:G7"/>
    <mergeCell ref="A8:A9"/>
    <mergeCell ref="E8:E9"/>
    <mergeCell ref="F8:G8"/>
  </mergeCells>
  <pageMargins left="0.25" right="0.25" top="0.75" bottom="0.75" header="0.3" footer="0.3"/>
  <pageSetup paperSize="9" scale="76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57"/>
  <sheetViews>
    <sheetView topLeftCell="A16" workbookViewId="0">
      <selection activeCell="F25" sqref="F25"/>
    </sheetView>
  </sheetViews>
  <sheetFormatPr defaultRowHeight="15" x14ac:dyDescent="0.25"/>
  <cols>
    <col min="1" max="1" width="6.140625" customWidth="1"/>
    <col min="2" max="2" width="28.7109375" customWidth="1"/>
    <col min="3" max="3" width="8.85546875" customWidth="1"/>
    <col min="4" max="4" width="13.85546875" customWidth="1"/>
    <col min="5" max="5" width="9.28515625" customWidth="1"/>
    <col min="6" max="6" width="15.85546875" customWidth="1"/>
  </cols>
  <sheetData>
    <row r="1" spans="1:7" ht="15.75" x14ac:dyDescent="0.25">
      <c r="A1" s="31"/>
      <c r="B1" s="31"/>
      <c r="C1" s="290"/>
      <c r="D1" s="290"/>
      <c r="E1" s="63"/>
      <c r="F1" s="63"/>
      <c r="G1" s="64" t="s">
        <v>59</v>
      </c>
    </row>
    <row r="2" spans="1:7" ht="15.75" x14ac:dyDescent="0.25">
      <c r="A2" s="31"/>
      <c r="B2" s="31"/>
      <c r="C2" s="290"/>
      <c r="D2" s="290"/>
      <c r="E2" s="63"/>
      <c r="F2" s="63"/>
      <c r="G2" s="64" t="s">
        <v>60</v>
      </c>
    </row>
    <row r="3" spans="1:7" ht="15.75" x14ac:dyDescent="0.25">
      <c r="A3" s="31"/>
      <c r="B3" s="31"/>
      <c r="C3" s="290"/>
      <c r="D3" s="290"/>
      <c r="E3" s="63"/>
      <c r="F3" s="63"/>
      <c r="G3" s="64" t="s">
        <v>388</v>
      </c>
    </row>
    <row r="4" spans="1:7" ht="15.75" x14ac:dyDescent="0.25">
      <c r="A4" s="31"/>
      <c r="B4" s="31"/>
      <c r="C4" s="290"/>
      <c r="D4" s="290"/>
      <c r="E4" s="63"/>
      <c r="F4" s="63"/>
      <c r="G4" s="64" t="s">
        <v>389</v>
      </c>
    </row>
    <row r="5" spans="1:7" ht="15.75" x14ac:dyDescent="0.25">
      <c r="A5" s="31"/>
      <c r="B5" s="31"/>
      <c r="C5" s="290"/>
      <c r="D5" s="290"/>
      <c r="E5" s="31"/>
      <c r="F5" s="42"/>
      <c r="G5" s="31"/>
    </row>
    <row r="6" spans="1:7" ht="15.75" x14ac:dyDescent="0.25">
      <c r="A6" s="396" t="s">
        <v>93</v>
      </c>
      <c r="B6" s="396"/>
      <c r="C6" s="396"/>
      <c r="D6" s="396"/>
      <c r="E6" s="396"/>
      <c r="F6" s="396"/>
      <c r="G6" s="396"/>
    </row>
    <row r="7" spans="1:7" ht="15.75" x14ac:dyDescent="0.25">
      <c r="A7" s="410" t="s">
        <v>325</v>
      </c>
      <c r="B7" s="410"/>
      <c r="C7" s="410"/>
      <c r="D7" s="410"/>
      <c r="E7" s="410"/>
      <c r="F7" s="410"/>
      <c r="G7" s="410"/>
    </row>
    <row r="8" spans="1:7" x14ac:dyDescent="0.25">
      <c r="A8" s="411" t="s">
        <v>13</v>
      </c>
      <c r="B8" s="413" t="s">
        <v>95</v>
      </c>
      <c r="C8" s="414"/>
      <c r="D8" s="414"/>
      <c r="E8" s="415"/>
      <c r="F8" s="421" t="s">
        <v>96</v>
      </c>
      <c r="G8" s="421"/>
    </row>
    <row r="9" spans="1:7" x14ac:dyDescent="0.25">
      <c r="A9" s="412"/>
      <c r="B9" s="416"/>
      <c r="C9" s="417"/>
      <c r="D9" s="417"/>
      <c r="E9" s="418"/>
      <c r="F9" s="65" t="s">
        <v>97</v>
      </c>
      <c r="G9" s="65" t="s">
        <v>62</v>
      </c>
    </row>
    <row r="10" spans="1:7" ht="15.75" x14ac:dyDescent="0.25">
      <c r="A10" s="109"/>
      <c r="B10" s="109" t="s">
        <v>153</v>
      </c>
      <c r="C10" s="109"/>
      <c r="D10" s="113"/>
      <c r="E10" s="109"/>
      <c r="F10" s="112">
        <v>62.85</v>
      </c>
      <c r="G10" s="113" t="s">
        <v>98</v>
      </c>
    </row>
    <row r="11" spans="1:7" ht="4.5" customHeight="1" x14ac:dyDescent="0.25">
      <c r="A11" s="109"/>
      <c r="B11" s="109"/>
      <c r="C11" s="109"/>
      <c r="D11" s="113"/>
      <c r="E11" s="109"/>
      <c r="F11" s="112"/>
      <c r="G11" s="113"/>
    </row>
    <row r="12" spans="1:7" ht="15.75" x14ac:dyDescent="0.25">
      <c r="A12" s="109"/>
      <c r="B12" s="109" t="s">
        <v>318</v>
      </c>
      <c r="C12" s="109"/>
      <c r="D12" s="113"/>
      <c r="E12" s="138">
        <v>0.25</v>
      </c>
      <c r="F12" s="112">
        <f>F10*E12</f>
        <v>15.7125</v>
      </c>
      <c r="G12" s="113" t="s">
        <v>98</v>
      </c>
    </row>
    <row r="13" spans="1:7" ht="4.5" customHeight="1" x14ac:dyDescent="0.25">
      <c r="A13" s="109"/>
      <c r="B13" s="109"/>
      <c r="C13" s="109"/>
      <c r="D13" s="113"/>
      <c r="E13" s="109"/>
      <c r="F13" s="112"/>
      <c r="G13" s="113"/>
    </row>
    <row r="14" spans="1:7" ht="15.75" x14ac:dyDescent="0.25">
      <c r="A14" s="109"/>
      <c r="B14" s="109" t="s">
        <v>100</v>
      </c>
      <c r="C14" s="109"/>
      <c r="D14" s="113"/>
      <c r="E14" s="138">
        <v>0.1</v>
      </c>
      <c r="F14" s="112">
        <f>F10*E14</f>
        <v>6.2850000000000001</v>
      </c>
      <c r="G14" s="113" t="s">
        <v>98</v>
      </c>
    </row>
    <row r="15" spans="1:7" ht="4.5" customHeight="1" x14ac:dyDescent="0.25">
      <c r="A15" s="109"/>
      <c r="B15" s="109"/>
      <c r="C15" s="109"/>
      <c r="D15" s="113"/>
      <c r="E15" s="109"/>
      <c r="F15" s="112"/>
      <c r="G15" s="113"/>
    </row>
    <row r="16" spans="1:7" ht="15.75" x14ac:dyDescent="0.25">
      <c r="A16" s="109"/>
      <c r="B16" s="109" t="s">
        <v>101</v>
      </c>
      <c r="C16" s="109"/>
      <c r="D16" s="113"/>
      <c r="E16" s="138">
        <v>0.4</v>
      </c>
      <c r="F16" s="112">
        <f>F10*E16</f>
        <v>25.14</v>
      </c>
      <c r="G16" s="113" t="s">
        <v>98</v>
      </c>
    </row>
    <row r="17" spans="1:7" ht="4.5" customHeight="1" x14ac:dyDescent="0.25">
      <c r="A17" s="109"/>
      <c r="B17" s="109"/>
      <c r="C17" s="109"/>
      <c r="D17" s="113"/>
      <c r="E17" s="138"/>
      <c r="F17" s="112"/>
      <c r="G17" s="113"/>
    </row>
    <row r="18" spans="1:7" ht="15.75" x14ac:dyDescent="0.25">
      <c r="A18" s="109"/>
      <c r="B18" s="109" t="s">
        <v>102</v>
      </c>
      <c r="C18" s="109"/>
      <c r="D18" s="113"/>
      <c r="E18" s="109"/>
      <c r="F18" s="112">
        <v>60</v>
      </c>
      <c r="G18" s="113" t="s">
        <v>103</v>
      </c>
    </row>
    <row r="19" spans="1:7" ht="4.5" customHeight="1" x14ac:dyDescent="0.25">
      <c r="A19" s="109"/>
      <c r="B19" s="109"/>
      <c r="C19" s="109"/>
      <c r="D19" s="113"/>
      <c r="E19" s="109"/>
      <c r="F19" s="112"/>
      <c r="G19" s="109"/>
    </row>
    <row r="20" spans="1:7" ht="15.75" x14ac:dyDescent="0.25">
      <c r="A20" s="117">
        <v>1</v>
      </c>
      <c r="B20" s="118" t="s">
        <v>104</v>
      </c>
      <c r="C20" s="118"/>
      <c r="D20" s="117"/>
      <c r="E20" s="118"/>
      <c r="F20" s="121">
        <f>F10+F12+F14+F16</f>
        <v>109.9875</v>
      </c>
      <c r="G20" s="117" t="s">
        <v>98</v>
      </c>
    </row>
    <row r="21" spans="1:7" ht="4.5" customHeight="1" x14ac:dyDescent="0.25">
      <c r="A21" s="113"/>
      <c r="B21" s="109"/>
      <c r="C21" s="109"/>
      <c r="D21" s="113"/>
      <c r="E21" s="109"/>
      <c r="F21" s="112"/>
      <c r="G21" s="113"/>
    </row>
    <row r="22" spans="1:7" ht="15.75" x14ac:dyDescent="0.25">
      <c r="A22" s="117">
        <v>2</v>
      </c>
      <c r="B22" s="118" t="s">
        <v>105</v>
      </c>
      <c r="C22" s="118"/>
      <c r="D22" s="117"/>
      <c r="E22" s="139">
        <v>0.30199999999999999</v>
      </c>
      <c r="F22" s="121">
        <f>E22*F20</f>
        <v>33.216225000000001</v>
      </c>
      <c r="G22" s="117" t="s">
        <v>98</v>
      </c>
    </row>
    <row r="23" spans="1:7" ht="4.5" customHeight="1" x14ac:dyDescent="0.25">
      <c r="A23" s="113"/>
      <c r="B23" s="109"/>
      <c r="C23" s="109"/>
      <c r="D23" s="113"/>
      <c r="E23" s="138"/>
      <c r="F23" s="112"/>
      <c r="G23" s="113"/>
    </row>
    <row r="24" spans="1:7" ht="15.75" x14ac:dyDescent="0.25">
      <c r="A24" s="117">
        <v>3</v>
      </c>
      <c r="B24" s="118" t="s">
        <v>106</v>
      </c>
      <c r="C24" s="118"/>
      <c r="D24" s="117"/>
      <c r="E24" s="139"/>
      <c r="F24" s="121">
        <f>'Пробег МТЗ-80'!E25</f>
        <v>5.0215174619181431</v>
      </c>
      <c r="G24" s="117" t="s">
        <v>98</v>
      </c>
    </row>
    <row r="25" spans="1:7" ht="4.5" customHeight="1" x14ac:dyDescent="0.25">
      <c r="A25" s="113"/>
      <c r="B25" s="109"/>
      <c r="C25" s="109"/>
      <c r="D25" s="113"/>
      <c r="E25" s="138"/>
      <c r="F25" s="112"/>
      <c r="G25" s="113"/>
    </row>
    <row r="26" spans="1:7" ht="15.75" x14ac:dyDescent="0.25">
      <c r="A26" s="117">
        <v>4</v>
      </c>
      <c r="B26" s="118" t="s">
        <v>326</v>
      </c>
      <c r="C26" s="109"/>
      <c r="D26" s="113"/>
      <c r="E26" s="138"/>
      <c r="F26" s="121">
        <f>F27+F28+F29</f>
        <v>806.03599999999983</v>
      </c>
      <c r="G26" s="113" t="s">
        <v>266</v>
      </c>
    </row>
    <row r="27" spans="1:7" ht="15.75" x14ac:dyDescent="0.25">
      <c r="A27" s="113"/>
      <c r="B27" s="109" t="s">
        <v>327</v>
      </c>
      <c r="C27" s="109"/>
      <c r="D27" s="113"/>
      <c r="E27" s="138"/>
      <c r="F27" s="112">
        <f>1.4*265.34</f>
        <v>371.47599999999994</v>
      </c>
      <c r="G27" s="113" t="s">
        <v>266</v>
      </c>
    </row>
    <row r="28" spans="1:7" ht="15.75" x14ac:dyDescent="0.25">
      <c r="A28" s="113"/>
      <c r="B28" s="109" t="s">
        <v>328</v>
      </c>
      <c r="C28" s="109"/>
      <c r="D28" s="113"/>
      <c r="E28" s="138"/>
      <c r="F28" s="112">
        <f>1.4*133.4</f>
        <v>186.76</v>
      </c>
      <c r="G28" s="113" t="s">
        <v>266</v>
      </c>
    </row>
    <row r="29" spans="1:7" ht="15.75" x14ac:dyDescent="0.25">
      <c r="A29" s="113"/>
      <c r="B29" s="109" t="s">
        <v>329</v>
      </c>
      <c r="C29" s="109"/>
      <c r="D29" s="113"/>
      <c r="E29" s="138"/>
      <c r="F29" s="112">
        <f>1.4*177</f>
        <v>247.79999999999998</v>
      </c>
      <c r="G29" s="113" t="s">
        <v>266</v>
      </c>
    </row>
    <row r="30" spans="1:7" ht="4.5" customHeight="1" x14ac:dyDescent="0.25">
      <c r="A30" s="113"/>
      <c r="B30" s="109"/>
      <c r="C30" s="109"/>
      <c r="D30" s="113"/>
      <c r="E30" s="138"/>
      <c r="F30" s="112"/>
      <c r="G30" s="113"/>
    </row>
    <row r="31" spans="1:7" ht="15.75" x14ac:dyDescent="0.25">
      <c r="A31" s="117">
        <v>5</v>
      </c>
      <c r="B31" s="118" t="s">
        <v>108</v>
      </c>
      <c r="C31" s="118"/>
      <c r="D31" s="117"/>
      <c r="E31" s="139"/>
      <c r="F31" s="121">
        <f>'Пробег МТЗ-80'!F25</f>
        <v>146.12383472968088</v>
      </c>
      <c r="G31" s="117" t="s">
        <v>98</v>
      </c>
    </row>
    <row r="32" spans="1:7" ht="4.5" customHeight="1" x14ac:dyDescent="0.25">
      <c r="A32" s="113"/>
      <c r="B32" s="109"/>
      <c r="C32" s="109"/>
      <c r="D32" s="113"/>
      <c r="E32" s="138"/>
      <c r="F32" s="112"/>
      <c r="G32" s="113"/>
    </row>
    <row r="33" spans="1:7" ht="15.75" x14ac:dyDescent="0.25">
      <c r="A33" s="117">
        <v>6</v>
      </c>
      <c r="B33" s="118" t="s">
        <v>156</v>
      </c>
      <c r="C33" s="118"/>
      <c r="D33" s="117"/>
      <c r="E33" s="121"/>
      <c r="F33" s="124">
        <v>9.9499999999999993</v>
      </c>
      <c r="G33" s="113" t="s">
        <v>111</v>
      </c>
    </row>
    <row r="34" spans="1:7" ht="15.75" x14ac:dyDescent="0.25">
      <c r="A34" s="113"/>
      <c r="B34" s="109"/>
      <c r="C34" s="140" t="s">
        <v>324</v>
      </c>
      <c r="D34" s="113"/>
      <c r="E34" s="108">
        <v>34.53</v>
      </c>
      <c r="F34" s="126">
        <f>F33*E34</f>
        <v>343.57349999999997</v>
      </c>
      <c r="G34" s="117" t="s">
        <v>98</v>
      </c>
    </row>
    <row r="35" spans="1:7" ht="4.5" customHeight="1" x14ac:dyDescent="0.25">
      <c r="A35" s="113"/>
      <c r="B35" s="109"/>
      <c r="C35" s="109"/>
      <c r="D35" s="113"/>
      <c r="E35" s="112"/>
      <c r="F35" s="112"/>
      <c r="G35" s="113"/>
    </row>
    <row r="36" spans="1:7" ht="15.75" x14ac:dyDescent="0.25">
      <c r="A36" s="117">
        <v>7</v>
      </c>
      <c r="B36" s="118" t="s">
        <v>112</v>
      </c>
      <c r="C36" s="118"/>
      <c r="D36" s="117"/>
      <c r="E36" s="121"/>
      <c r="F36" s="121"/>
      <c r="G36" s="117"/>
    </row>
    <row r="37" spans="1:7" ht="15.75" x14ac:dyDescent="0.25">
      <c r="A37" s="113"/>
      <c r="B37" s="109" t="s">
        <v>113</v>
      </c>
      <c r="C37" s="200">
        <v>3.2000000000000001E-2</v>
      </c>
      <c r="D37" s="176" t="s">
        <v>114</v>
      </c>
      <c r="E37" s="158">
        <v>186.99</v>
      </c>
      <c r="F37" s="112">
        <f>C37*$F$33*E37</f>
        <v>59.537615999999993</v>
      </c>
      <c r="G37" s="113" t="s">
        <v>98</v>
      </c>
    </row>
    <row r="38" spans="1:7" ht="15.75" x14ac:dyDescent="0.25">
      <c r="A38" s="113"/>
      <c r="B38" s="109" t="s">
        <v>115</v>
      </c>
      <c r="C38" s="200">
        <v>4.0000000000000001E-3</v>
      </c>
      <c r="D38" s="178" t="s">
        <v>116</v>
      </c>
      <c r="E38" s="158">
        <v>107.82</v>
      </c>
      <c r="F38" s="112">
        <f>C38*$F$33*E38</f>
        <v>4.2912359999999996</v>
      </c>
      <c r="G38" s="113" t="s">
        <v>98</v>
      </c>
    </row>
    <row r="39" spans="1:7" ht="15.75" x14ac:dyDescent="0.25">
      <c r="A39" s="113"/>
      <c r="B39" s="109" t="s">
        <v>117</v>
      </c>
      <c r="C39" s="200">
        <v>1E-3</v>
      </c>
      <c r="D39" s="178" t="s">
        <v>116</v>
      </c>
      <c r="E39" s="158">
        <v>75.260000000000005</v>
      </c>
      <c r="F39" s="112">
        <f>C39*$F$33*E39</f>
        <v>0.74883699999999997</v>
      </c>
      <c r="G39" s="113" t="s">
        <v>98</v>
      </c>
    </row>
    <row r="40" spans="1:7" ht="15.75" x14ac:dyDescent="0.25">
      <c r="A40" s="113"/>
      <c r="B40" s="109" t="s">
        <v>118</v>
      </c>
      <c r="C40" s="202">
        <v>3.0000000000000001E-3</v>
      </c>
      <c r="D40" s="179" t="s">
        <v>116</v>
      </c>
      <c r="E40" s="158">
        <v>132.04</v>
      </c>
      <c r="F40" s="112">
        <f>C40*$F$33*E40</f>
        <v>3.9413939999999994</v>
      </c>
      <c r="G40" s="113" t="s">
        <v>98</v>
      </c>
    </row>
    <row r="41" spans="1:7" ht="15.75" x14ac:dyDescent="0.25">
      <c r="A41" s="113"/>
      <c r="B41" s="109" t="s">
        <v>119</v>
      </c>
      <c r="C41" s="118"/>
      <c r="D41" s="180"/>
      <c r="E41" s="121"/>
      <c r="F41" s="121">
        <f>SUM(F37:F40)</f>
        <v>68.519082999999995</v>
      </c>
      <c r="G41" s="113" t="s">
        <v>98</v>
      </c>
    </row>
    <row r="42" spans="1:7" ht="4.5" customHeight="1" x14ac:dyDescent="0.25">
      <c r="A42" s="113"/>
      <c r="B42" s="109"/>
      <c r="C42" s="109"/>
      <c r="D42" s="113"/>
      <c r="E42" s="138"/>
      <c r="F42" s="112"/>
      <c r="G42" s="113"/>
    </row>
    <row r="43" spans="1:7" ht="15.75" x14ac:dyDescent="0.25">
      <c r="A43" s="117">
        <v>8</v>
      </c>
      <c r="B43" s="118" t="s">
        <v>120</v>
      </c>
      <c r="C43" s="118"/>
      <c r="D43" s="117"/>
      <c r="E43" s="122">
        <v>0.6</v>
      </c>
      <c r="F43" s="121">
        <f>F20*E43</f>
        <v>65.992499999999993</v>
      </c>
      <c r="G43" s="117" t="s">
        <v>98</v>
      </c>
    </row>
    <row r="44" spans="1:7" ht="4.5" customHeight="1" x14ac:dyDescent="0.25">
      <c r="A44" s="113"/>
      <c r="B44" s="109"/>
      <c r="C44" s="109"/>
      <c r="D44" s="113"/>
      <c r="E44" s="138"/>
      <c r="F44" s="112"/>
      <c r="G44" s="113"/>
    </row>
    <row r="45" spans="1:7" ht="15.75" x14ac:dyDescent="0.25">
      <c r="A45" s="117">
        <v>9</v>
      </c>
      <c r="B45" s="118" t="s">
        <v>121</v>
      </c>
      <c r="C45" s="118"/>
      <c r="D45" s="117"/>
      <c r="E45" s="139"/>
      <c r="F45" s="121">
        <f>F20+F22+F24+F31+F34+F41+F43+F26</f>
        <v>1578.4701601915988</v>
      </c>
      <c r="G45" s="117" t="s">
        <v>98</v>
      </c>
    </row>
    <row r="46" spans="1:7" ht="4.5" customHeight="1" x14ac:dyDescent="0.25">
      <c r="A46" s="117"/>
      <c r="B46" s="118"/>
      <c r="C46" s="118"/>
      <c r="D46" s="117"/>
      <c r="E46" s="139"/>
      <c r="F46" s="121"/>
      <c r="G46" s="117"/>
    </row>
    <row r="47" spans="1:7" ht="15.75" x14ac:dyDescent="0.25">
      <c r="A47" s="117">
        <v>10</v>
      </c>
      <c r="B47" s="118" t="s">
        <v>122</v>
      </c>
      <c r="C47" s="118"/>
      <c r="D47" s="117"/>
      <c r="E47" s="139"/>
      <c r="F47" s="121"/>
      <c r="G47" s="117"/>
    </row>
    <row r="48" spans="1:7" ht="15.75" x14ac:dyDescent="0.25">
      <c r="A48" s="113"/>
      <c r="B48" s="109" t="s">
        <v>123</v>
      </c>
      <c r="C48" s="109"/>
      <c r="D48" s="113"/>
      <c r="E48" s="138">
        <v>0.1</v>
      </c>
      <c r="F48" s="112">
        <f>F45*E48</f>
        <v>157.84701601915989</v>
      </c>
      <c r="G48" s="113" t="s">
        <v>98</v>
      </c>
    </row>
    <row r="49" spans="1:7" ht="15.75" x14ac:dyDescent="0.25">
      <c r="A49" s="113"/>
      <c r="B49" s="109" t="s">
        <v>124</v>
      </c>
      <c r="C49" s="109"/>
      <c r="D49" s="113"/>
      <c r="E49" s="138">
        <v>0.15</v>
      </c>
      <c r="F49" s="112">
        <f>F45*E49</f>
        <v>236.7705240287398</v>
      </c>
      <c r="G49" s="113" t="s">
        <v>98</v>
      </c>
    </row>
    <row r="50" spans="1:7" ht="4.5" customHeight="1" x14ac:dyDescent="0.25">
      <c r="A50" s="113"/>
      <c r="B50" s="109"/>
      <c r="C50" s="109"/>
      <c r="D50" s="113"/>
      <c r="E50" s="138"/>
      <c r="F50" s="112"/>
      <c r="G50" s="113"/>
    </row>
    <row r="51" spans="1:7" ht="15.75" x14ac:dyDescent="0.25">
      <c r="A51" s="117">
        <v>11</v>
      </c>
      <c r="B51" s="118" t="s">
        <v>125</v>
      </c>
      <c r="C51" s="118"/>
      <c r="D51" s="117"/>
      <c r="E51" s="139"/>
      <c r="F51" s="121"/>
      <c r="G51" s="117"/>
    </row>
    <row r="52" spans="1:7" ht="15.75" x14ac:dyDescent="0.25">
      <c r="A52" s="113"/>
      <c r="B52" s="109" t="s">
        <v>123</v>
      </c>
      <c r="C52" s="109"/>
      <c r="D52" s="113"/>
      <c r="E52" s="138"/>
      <c r="F52" s="121">
        <f>F45+F48</f>
        <v>1736.3171762107586</v>
      </c>
      <c r="G52" s="117" t="s">
        <v>98</v>
      </c>
    </row>
    <row r="53" spans="1:7" ht="15.75" x14ac:dyDescent="0.25">
      <c r="A53" s="113"/>
      <c r="B53" s="109" t="s">
        <v>124</v>
      </c>
      <c r="C53" s="109"/>
      <c r="D53" s="113"/>
      <c r="E53" s="138"/>
      <c r="F53" s="121">
        <f>F45+F49</f>
        <v>1815.2406842203386</v>
      </c>
      <c r="G53" s="117" t="s">
        <v>98</v>
      </c>
    </row>
    <row r="54" spans="1:7" ht="15.75" x14ac:dyDescent="0.25">
      <c r="A54" s="104"/>
      <c r="B54" s="104"/>
      <c r="C54" s="104"/>
      <c r="D54" s="135"/>
      <c r="E54" s="104"/>
      <c r="F54" s="108"/>
      <c r="G54" s="163"/>
    </row>
    <row r="55" spans="1:7" ht="15.75" x14ac:dyDescent="0.25">
      <c r="A55" s="104"/>
      <c r="B55" s="104"/>
      <c r="C55" s="104"/>
      <c r="D55" s="135"/>
      <c r="E55" s="104"/>
      <c r="F55" s="108"/>
      <c r="G55" s="104"/>
    </row>
    <row r="56" spans="1:7" ht="15.75" x14ac:dyDescent="0.25">
      <c r="A56" s="31"/>
      <c r="B56" s="83" t="s">
        <v>55</v>
      </c>
      <c r="C56" s="83"/>
      <c r="D56" s="83"/>
      <c r="E56" s="31"/>
      <c r="F56" s="62" t="s">
        <v>57</v>
      </c>
      <c r="G56" s="31"/>
    </row>
    <row r="57" spans="1:7" ht="15.75" x14ac:dyDescent="0.25">
      <c r="A57" s="31"/>
      <c r="B57" s="84" t="s">
        <v>56</v>
      </c>
      <c r="C57" s="83"/>
      <c r="D57" s="83"/>
      <c r="E57" s="31"/>
      <c r="F57" s="42"/>
      <c r="G57" s="31"/>
    </row>
  </sheetData>
  <mergeCells count="5">
    <mergeCell ref="A6:G6"/>
    <mergeCell ref="A7:G7"/>
    <mergeCell ref="A8:A9"/>
    <mergeCell ref="B8:E9"/>
    <mergeCell ref="F8:G8"/>
  </mergeCells>
  <pageMargins left="0.25" right="0.25" top="0.75" bottom="0.75" header="0.3" footer="0.3"/>
  <pageSetup paperSize="9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2"/>
  <sheetViews>
    <sheetView workbookViewId="0">
      <selection activeCell="A4" sqref="A4:F4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20" t="s">
        <v>330</v>
      </c>
      <c r="B1" s="320"/>
      <c r="C1" s="320"/>
      <c r="D1" s="320"/>
      <c r="E1" s="320"/>
      <c r="F1" s="320"/>
      <c r="G1" s="320"/>
    </row>
    <row r="2" spans="1:7" x14ac:dyDescent="0.25">
      <c r="A2" s="319" t="s">
        <v>130</v>
      </c>
      <c r="B2" s="319"/>
      <c r="C2" s="319"/>
      <c r="D2" s="319"/>
      <c r="E2" s="319"/>
      <c r="F2" s="319"/>
      <c r="G2" s="3"/>
    </row>
    <row r="3" spans="1:7" x14ac:dyDescent="0.25">
      <c r="A3" s="87"/>
      <c r="B3" s="5">
        <f>'План. расчет времени'!F60*80%</f>
        <v>934.31958188153317</v>
      </c>
      <c r="C3" s="3" t="s">
        <v>131</v>
      </c>
      <c r="D3" s="3"/>
      <c r="E3" s="3"/>
      <c r="F3" s="3"/>
      <c r="G3" s="3"/>
    </row>
    <row r="4" spans="1:7" x14ac:dyDescent="0.25">
      <c r="A4" s="319" t="s">
        <v>132</v>
      </c>
      <c r="B4" s="319"/>
      <c r="C4" s="319"/>
      <c r="D4" s="319"/>
      <c r="E4" s="319"/>
      <c r="F4" s="319"/>
      <c r="G4" s="86"/>
    </row>
    <row r="5" spans="1:7" x14ac:dyDescent="0.25">
      <c r="A5" s="3"/>
      <c r="B5" s="3">
        <v>40</v>
      </c>
      <c r="C5" s="3" t="s">
        <v>131</v>
      </c>
      <c r="D5" s="3"/>
      <c r="E5" s="3"/>
      <c r="F5" s="3"/>
      <c r="G5" s="86"/>
    </row>
    <row r="6" spans="1:7" x14ac:dyDescent="0.25">
      <c r="A6" s="319" t="s">
        <v>168</v>
      </c>
      <c r="B6" s="319"/>
      <c r="C6" s="319"/>
      <c r="D6" s="319"/>
      <c r="E6" s="319"/>
      <c r="F6" s="319"/>
      <c r="G6" s="319"/>
    </row>
    <row r="7" spans="1:7" x14ac:dyDescent="0.25">
      <c r="A7" s="3"/>
      <c r="B7" s="3">
        <v>80</v>
      </c>
      <c r="C7" s="3" t="s">
        <v>131</v>
      </c>
      <c r="D7" s="87"/>
      <c r="E7" s="87"/>
      <c r="F7" s="3"/>
      <c r="G7" s="3"/>
    </row>
    <row r="8" spans="1:7" x14ac:dyDescent="0.25">
      <c r="A8" s="86"/>
      <c r="B8" s="86"/>
      <c r="C8" s="86"/>
      <c r="D8" s="3"/>
      <c r="E8" s="3"/>
      <c r="F8" s="3"/>
      <c r="G8" s="3"/>
    </row>
    <row r="9" spans="1:7" x14ac:dyDescent="0.25">
      <c r="A9" s="406" t="s">
        <v>136</v>
      </c>
      <c r="B9" s="406"/>
      <c r="C9" s="406"/>
      <c r="D9" s="149">
        <f>B3-B5-B7</f>
        <v>814.31958188153317</v>
      </c>
      <c r="E9" s="150" t="s">
        <v>131</v>
      </c>
      <c r="F9" s="150"/>
      <c r="G9" s="9"/>
    </row>
    <row r="10" spans="1:7" x14ac:dyDescent="0.25">
      <c r="A10" s="86"/>
      <c r="B10" s="86"/>
      <c r="C10" s="86"/>
      <c r="D10" s="86"/>
      <c r="E10" s="86"/>
      <c r="F10" s="86"/>
      <c r="G10" s="86"/>
    </row>
    <row r="11" spans="1:7" x14ac:dyDescent="0.25">
      <c r="A11" s="319" t="s">
        <v>169</v>
      </c>
      <c r="B11" s="319"/>
      <c r="C11" s="3">
        <v>4089.12</v>
      </c>
      <c r="D11" s="3" t="s">
        <v>98</v>
      </c>
      <c r="E11" s="3"/>
      <c r="F11" s="86"/>
      <c r="G11" s="86"/>
    </row>
    <row r="12" spans="1:7" x14ac:dyDescent="0.25">
      <c r="A12" s="86"/>
      <c r="B12" s="86"/>
      <c r="C12" s="86"/>
      <c r="D12" s="86"/>
      <c r="E12" s="86"/>
      <c r="F12" s="86"/>
      <c r="G12" s="86"/>
    </row>
    <row r="13" spans="1:7" x14ac:dyDescent="0.25">
      <c r="A13" s="319" t="s">
        <v>170</v>
      </c>
      <c r="B13" s="319"/>
      <c r="C13" s="319"/>
      <c r="D13" s="319"/>
      <c r="E13" s="319"/>
      <c r="F13" s="298">
        <f>'[1]Трактор МТЗ-80'!$F$45</f>
        <v>118991.5</v>
      </c>
      <c r="G13" s="3" t="s">
        <v>98</v>
      </c>
    </row>
    <row r="14" spans="1:7" x14ac:dyDescent="0.25">
      <c r="A14" s="86"/>
      <c r="B14" s="86"/>
      <c r="C14" s="3"/>
      <c r="D14" s="3"/>
      <c r="E14" s="3"/>
      <c r="F14" s="87"/>
      <c r="G14" s="87"/>
    </row>
    <row r="15" spans="1:7" ht="15.75" thickBot="1" x14ac:dyDescent="0.3">
      <c r="A15" s="378" t="s">
        <v>138</v>
      </c>
      <c r="B15" s="376" t="s">
        <v>139</v>
      </c>
      <c r="C15" s="376"/>
      <c r="D15" s="376"/>
      <c r="E15" s="3"/>
      <c r="F15" s="87"/>
      <c r="G15" s="87"/>
    </row>
    <row r="16" spans="1:7" x14ac:dyDescent="0.25">
      <c r="A16" s="378"/>
      <c r="B16" s="377" t="s">
        <v>140</v>
      </c>
      <c r="C16" s="377"/>
      <c r="D16" s="377"/>
      <c r="E16" s="3"/>
      <c r="F16" s="87"/>
      <c r="G16" s="87"/>
    </row>
    <row r="17" spans="1:7" x14ac:dyDescent="0.25">
      <c r="A17" s="90"/>
      <c r="B17" s="91"/>
      <c r="C17" s="91"/>
      <c r="D17" s="91"/>
      <c r="E17" s="3"/>
      <c r="F17" s="87"/>
      <c r="G17" s="87"/>
    </row>
    <row r="18" spans="1:7" ht="15.75" thickBot="1" x14ac:dyDescent="0.3">
      <c r="A18" s="375" t="s">
        <v>141</v>
      </c>
      <c r="B18" s="375"/>
      <c r="C18" s="376" t="s">
        <v>142</v>
      </c>
      <c r="D18" s="376"/>
      <c r="E18" s="376"/>
      <c r="F18" s="87"/>
      <c r="G18" s="87"/>
    </row>
    <row r="19" spans="1:7" x14ac:dyDescent="0.25">
      <c r="A19" s="375"/>
      <c r="B19" s="375"/>
      <c r="C19" s="377" t="s">
        <v>140</v>
      </c>
      <c r="D19" s="377"/>
      <c r="E19" s="377"/>
      <c r="F19" s="87"/>
      <c r="G19" s="87"/>
    </row>
    <row r="20" spans="1:7" x14ac:dyDescent="0.25">
      <c r="A20" s="9"/>
      <c r="B20" s="9"/>
      <c r="C20" s="92"/>
      <c r="D20" s="92"/>
      <c r="E20" s="92"/>
      <c r="F20" s="87"/>
      <c r="G20" s="87"/>
    </row>
    <row r="21" spans="1:7" x14ac:dyDescent="0.25">
      <c r="A21" s="9"/>
      <c r="B21" s="9"/>
      <c r="C21" s="92"/>
      <c r="D21" s="92"/>
      <c r="E21" s="323" t="s">
        <v>12</v>
      </c>
      <c r="F21" s="323"/>
      <c r="G21" s="87"/>
    </row>
    <row r="22" spans="1:7" x14ac:dyDescent="0.25">
      <c r="A22" s="324" t="s">
        <v>143</v>
      </c>
      <c r="B22" s="324"/>
      <c r="C22" s="324"/>
      <c r="D22" s="324"/>
      <c r="E22" s="324"/>
      <c r="F22" s="324"/>
      <c r="G22" s="87"/>
    </row>
    <row r="23" spans="1:7" x14ac:dyDescent="0.25">
      <c r="A23" s="380" t="s">
        <v>144</v>
      </c>
      <c r="B23" s="382" t="s">
        <v>15</v>
      </c>
      <c r="C23" s="383"/>
      <c r="D23" s="383"/>
      <c r="E23" s="384" t="s">
        <v>145</v>
      </c>
      <c r="F23" s="384"/>
      <c r="G23" s="93"/>
    </row>
    <row r="24" spans="1:7" ht="45" x14ac:dyDescent="0.25">
      <c r="A24" s="381"/>
      <c r="B24" s="94" t="s">
        <v>146</v>
      </c>
      <c r="C24" s="94" t="s">
        <v>147</v>
      </c>
      <c r="D24" s="95" t="s">
        <v>148</v>
      </c>
      <c r="E24" s="94" t="s">
        <v>149</v>
      </c>
      <c r="F24" s="94" t="s">
        <v>150</v>
      </c>
      <c r="G24" s="96"/>
    </row>
    <row r="25" spans="1:7" x14ac:dyDescent="0.25">
      <c r="A25" s="97" t="s">
        <v>331</v>
      </c>
      <c r="B25" s="98">
        <f>C11</f>
        <v>4089.12</v>
      </c>
      <c r="C25" s="99">
        <f>F13</f>
        <v>118991.5</v>
      </c>
      <c r="D25" s="100">
        <f>D9</f>
        <v>814.31958188153317</v>
      </c>
      <c r="E25" s="99">
        <f>B25/D25</f>
        <v>5.0215174619181431</v>
      </c>
      <c r="F25" s="98">
        <f>C25/D25</f>
        <v>146.12383472968088</v>
      </c>
      <c r="G25" s="12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x14ac:dyDescent="0.25">
      <c r="A29" s="87"/>
      <c r="B29" s="87"/>
      <c r="C29" s="87"/>
      <c r="D29" s="87"/>
      <c r="E29" s="87"/>
      <c r="F29" s="87"/>
      <c r="G29" s="87"/>
    </row>
    <row r="30" spans="1:7" ht="15.75" x14ac:dyDescent="0.25">
      <c r="A30" s="385" t="s">
        <v>55</v>
      </c>
      <c r="B30" s="385"/>
      <c r="C30" s="385"/>
      <c r="D30" s="31"/>
      <c r="E30" s="343" t="s">
        <v>57</v>
      </c>
      <c r="F30" s="343"/>
      <c r="G30" s="343"/>
    </row>
    <row r="31" spans="1:7" ht="15.75" x14ac:dyDescent="0.25">
      <c r="A31" s="379" t="s">
        <v>56</v>
      </c>
      <c r="B31" s="379"/>
      <c r="C31" s="379"/>
      <c r="D31" s="31"/>
      <c r="E31" s="31"/>
      <c r="F31" s="84"/>
      <c r="G31" s="31"/>
    </row>
    <row r="32" spans="1:7" x14ac:dyDescent="0.25">
      <c r="A32" s="87"/>
      <c r="B32" s="87"/>
      <c r="C32" s="87"/>
      <c r="D32" s="87"/>
      <c r="E32" s="87"/>
      <c r="F32" s="87"/>
      <c r="G32" s="87"/>
    </row>
  </sheetData>
  <mergeCells count="21">
    <mergeCell ref="A31:C31"/>
    <mergeCell ref="E21:F21"/>
    <mergeCell ref="A22:F22"/>
    <mergeCell ref="A23:A24"/>
    <mergeCell ref="B23:D23"/>
    <mergeCell ref="E23:F23"/>
    <mergeCell ref="A30:C30"/>
    <mergeCell ref="E30:G30"/>
    <mergeCell ref="A13:E13"/>
    <mergeCell ref="A15:A16"/>
    <mergeCell ref="B15:D15"/>
    <mergeCell ref="B16:D16"/>
    <mergeCell ref="A18:B19"/>
    <mergeCell ref="C18:E18"/>
    <mergeCell ref="C19:E19"/>
    <mergeCell ref="A11:B11"/>
    <mergeCell ref="A1:G1"/>
    <mergeCell ref="A2:F2"/>
    <mergeCell ref="A4:F4"/>
    <mergeCell ref="A6:G6"/>
    <mergeCell ref="A9:C9"/>
  </mergeCells>
  <pageMargins left="0.7" right="0.7" top="0.75" bottom="0.75" header="0.3" footer="0.3"/>
  <pageSetup paperSize="9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51"/>
  <sheetViews>
    <sheetView workbookViewId="0">
      <selection activeCell="F26" sqref="F26"/>
    </sheetView>
  </sheetViews>
  <sheetFormatPr defaultRowHeight="15" x14ac:dyDescent="0.25"/>
  <cols>
    <col min="1" max="1" width="5.42578125" customWidth="1"/>
    <col min="2" max="2" width="28.140625" customWidth="1"/>
    <col min="4" max="4" width="14.140625" customWidth="1"/>
    <col min="5" max="5" width="9.85546875" customWidth="1"/>
    <col min="6" max="6" width="19.7109375" customWidth="1"/>
    <col min="7" max="7" width="12.42578125" customWidth="1"/>
  </cols>
  <sheetData>
    <row r="1" spans="1:7" ht="15.75" x14ac:dyDescent="0.25">
      <c r="A1" s="31"/>
      <c r="B1" s="31"/>
      <c r="C1" s="290"/>
      <c r="D1" s="290"/>
      <c r="E1" s="63"/>
      <c r="F1" s="63"/>
      <c r="G1" s="64" t="s">
        <v>59</v>
      </c>
    </row>
    <row r="2" spans="1:7" ht="15.75" x14ac:dyDescent="0.25">
      <c r="A2" s="31"/>
      <c r="B2" s="31"/>
      <c r="C2" s="290"/>
      <c r="D2" s="290"/>
      <c r="E2" s="63"/>
      <c r="F2" s="63"/>
      <c r="G2" s="64" t="s">
        <v>60</v>
      </c>
    </row>
    <row r="3" spans="1:7" ht="15.75" x14ac:dyDescent="0.25">
      <c r="A3" s="31"/>
      <c r="B3" s="31"/>
      <c r="C3" s="290"/>
      <c r="D3" s="290"/>
      <c r="E3" s="63"/>
      <c r="F3" s="63"/>
      <c r="G3" s="64" t="s">
        <v>388</v>
      </c>
    </row>
    <row r="4" spans="1:7" ht="15.75" x14ac:dyDescent="0.25">
      <c r="A4" s="31"/>
      <c r="B4" s="31"/>
      <c r="C4" s="290"/>
      <c r="D4" s="290"/>
      <c r="E4" s="63"/>
      <c r="F4" s="63"/>
      <c r="G4" s="64" t="s">
        <v>389</v>
      </c>
    </row>
    <row r="5" spans="1:7" ht="15.75" x14ac:dyDescent="0.25">
      <c r="A5" s="31"/>
      <c r="B5" s="31"/>
      <c r="C5" s="290"/>
      <c r="D5" s="290"/>
      <c r="E5" s="31"/>
      <c r="F5" s="42"/>
      <c r="G5" s="31"/>
    </row>
    <row r="6" spans="1:7" ht="15.75" x14ac:dyDescent="0.25">
      <c r="A6" s="396" t="s">
        <v>93</v>
      </c>
      <c r="B6" s="396"/>
      <c r="C6" s="396"/>
      <c r="D6" s="396"/>
      <c r="E6" s="396"/>
      <c r="F6" s="396"/>
      <c r="G6" s="396"/>
    </row>
    <row r="7" spans="1:7" ht="15.75" x14ac:dyDescent="0.25">
      <c r="A7" s="396" t="s">
        <v>332</v>
      </c>
      <c r="B7" s="396"/>
      <c r="C7" s="396"/>
      <c r="D7" s="396"/>
      <c r="E7" s="396"/>
      <c r="F7" s="396"/>
      <c r="G7" s="396"/>
    </row>
    <row r="8" spans="1:7" x14ac:dyDescent="0.25">
      <c r="A8" s="353" t="s">
        <v>13</v>
      </c>
      <c r="B8" s="390" t="s">
        <v>95</v>
      </c>
      <c r="C8" s="391"/>
      <c r="D8" s="391"/>
      <c r="E8" s="392"/>
      <c r="F8" s="357" t="s">
        <v>96</v>
      </c>
      <c r="G8" s="357"/>
    </row>
    <row r="9" spans="1:7" x14ac:dyDescent="0.25">
      <c r="A9" s="354"/>
      <c r="B9" s="393"/>
      <c r="C9" s="394"/>
      <c r="D9" s="394"/>
      <c r="E9" s="395"/>
      <c r="F9" s="136" t="s">
        <v>97</v>
      </c>
      <c r="G9" s="88" t="s">
        <v>62</v>
      </c>
    </row>
    <row r="10" spans="1:7" ht="15.75" x14ac:dyDescent="0.25">
      <c r="A10" s="109"/>
      <c r="B10" s="109" t="s">
        <v>153</v>
      </c>
      <c r="C10" s="109"/>
      <c r="D10" s="113"/>
      <c r="E10" s="138"/>
      <c r="F10" s="185">
        <v>68.150000000000006</v>
      </c>
      <c r="G10" s="113" t="s">
        <v>98</v>
      </c>
    </row>
    <row r="11" spans="1:7" ht="12" customHeight="1" x14ac:dyDescent="0.25">
      <c r="A11" s="109"/>
      <c r="B11" s="109"/>
      <c r="C11" s="109"/>
      <c r="D11" s="113"/>
      <c r="E11" s="138"/>
      <c r="F11" s="185"/>
      <c r="G11" s="113"/>
    </row>
    <row r="12" spans="1:7" ht="15.75" x14ac:dyDescent="0.25">
      <c r="A12" s="109"/>
      <c r="B12" s="109" t="s">
        <v>194</v>
      </c>
      <c r="C12" s="109"/>
      <c r="D12" s="113"/>
      <c r="E12" s="138">
        <v>0.25</v>
      </c>
      <c r="F12" s="185">
        <f>F10*E12</f>
        <v>17.037500000000001</v>
      </c>
      <c r="G12" s="113"/>
    </row>
    <row r="13" spans="1:7" ht="12" customHeight="1" x14ac:dyDescent="0.25">
      <c r="A13" s="109"/>
      <c r="B13" s="109"/>
      <c r="C13" s="109"/>
      <c r="D13" s="113"/>
      <c r="E13" s="138"/>
      <c r="F13" s="185"/>
      <c r="G13" s="113"/>
    </row>
    <row r="14" spans="1:7" ht="15.75" x14ac:dyDescent="0.25">
      <c r="A14" s="109"/>
      <c r="B14" s="386" t="s">
        <v>100</v>
      </c>
      <c r="C14" s="388"/>
      <c r="D14" s="113"/>
      <c r="E14" s="138">
        <v>0.1</v>
      </c>
      <c r="F14" s="185">
        <f>F10*E14</f>
        <v>6.8150000000000013</v>
      </c>
      <c r="G14" s="113"/>
    </row>
    <row r="15" spans="1:7" ht="12" customHeight="1" x14ac:dyDescent="0.25">
      <c r="A15" s="109"/>
      <c r="B15" s="109"/>
      <c r="C15" s="109"/>
      <c r="D15" s="113"/>
      <c r="E15" s="138"/>
      <c r="F15" s="185"/>
      <c r="G15" s="113"/>
    </row>
    <row r="16" spans="1:7" ht="15.75" x14ac:dyDescent="0.25">
      <c r="A16" s="109"/>
      <c r="B16" s="109" t="s">
        <v>101</v>
      </c>
      <c r="C16" s="109"/>
      <c r="D16" s="113"/>
      <c r="E16" s="138">
        <v>0.4</v>
      </c>
      <c r="F16" s="185">
        <f>SUM(F10:F11)*E16</f>
        <v>27.260000000000005</v>
      </c>
      <c r="G16" s="113" t="s">
        <v>98</v>
      </c>
    </row>
    <row r="17" spans="1:7" ht="12" customHeight="1" x14ac:dyDescent="0.25">
      <c r="A17" s="109"/>
      <c r="B17" s="109"/>
      <c r="C17" s="109"/>
      <c r="D17" s="113"/>
      <c r="E17" s="138"/>
      <c r="F17" s="185"/>
      <c r="G17" s="113"/>
    </row>
    <row r="18" spans="1:7" ht="15.75" x14ac:dyDescent="0.25">
      <c r="A18" s="109"/>
      <c r="B18" s="109" t="s">
        <v>102</v>
      </c>
      <c r="C18" s="109"/>
      <c r="D18" s="113"/>
      <c r="E18" s="138"/>
      <c r="F18" s="185">
        <v>60</v>
      </c>
      <c r="G18" s="113" t="s">
        <v>103</v>
      </c>
    </row>
    <row r="19" spans="1:7" ht="12" customHeight="1" x14ac:dyDescent="0.25">
      <c r="A19" s="109"/>
      <c r="B19" s="109"/>
      <c r="C19" s="109"/>
      <c r="D19" s="113"/>
      <c r="E19" s="138"/>
      <c r="F19" s="185"/>
      <c r="G19" s="109"/>
    </row>
    <row r="20" spans="1:7" ht="15.75" x14ac:dyDescent="0.25">
      <c r="A20" s="117">
        <v>1</v>
      </c>
      <c r="B20" s="118" t="s">
        <v>104</v>
      </c>
      <c r="C20" s="118"/>
      <c r="D20" s="117"/>
      <c r="E20" s="139"/>
      <c r="F20" s="186">
        <f>F10+F12+F14+F16</f>
        <v>119.2625</v>
      </c>
      <c r="G20" s="117" t="s">
        <v>98</v>
      </c>
    </row>
    <row r="21" spans="1:7" ht="12" customHeight="1" x14ac:dyDescent="0.25">
      <c r="A21" s="113"/>
      <c r="B21" s="109"/>
      <c r="C21" s="109"/>
      <c r="D21" s="113"/>
      <c r="E21" s="138"/>
      <c r="F21" s="185"/>
      <c r="G21" s="113"/>
    </row>
    <row r="22" spans="1:7" ht="15.75" x14ac:dyDescent="0.25">
      <c r="A22" s="117">
        <v>2</v>
      </c>
      <c r="B22" s="118" t="s">
        <v>105</v>
      </c>
      <c r="C22" s="118"/>
      <c r="D22" s="117"/>
      <c r="E22" s="139">
        <v>0.30199999999999999</v>
      </c>
      <c r="F22" s="186">
        <f>E22*F20</f>
        <v>36.017274999999998</v>
      </c>
      <c r="G22" s="117" t="s">
        <v>98</v>
      </c>
    </row>
    <row r="23" spans="1:7" ht="12" customHeight="1" x14ac:dyDescent="0.25">
      <c r="A23" s="113"/>
      <c r="B23" s="109"/>
      <c r="C23" s="109"/>
      <c r="D23" s="113"/>
      <c r="E23" s="138"/>
      <c r="F23" s="185"/>
      <c r="G23" s="113"/>
    </row>
    <row r="24" spans="1:7" ht="15.75" x14ac:dyDescent="0.25">
      <c r="A24" s="117">
        <v>3</v>
      </c>
      <c r="B24" s="118" t="s">
        <v>106</v>
      </c>
      <c r="C24" s="422" t="s">
        <v>155</v>
      </c>
      <c r="D24" s="423"/>
      <c r="E24" s="139"/>
      <c r="F24" s="186">
        <f>'Пробег ДЗ-180'!E24</f>
        <v>37.782504912042157</v>
      </c>
      <c r="G24" s="117" t="s">
        <v>98</v>
      </c>
    </row>
    <row r="25" spans="1:7" ht="12" customHeight="1" x14ac:dyDescent="0.25">
      <c r="A25" s="113"/>
      <c r="B25" s="109"/>
      <c r="C25" s="109"/>
      <c r="D25" s="113"/>
      <c r="E25" s="138"/>
      <c r="F25" s="185"/>
      <c r="G25" s="113"/>
    </row>
    <row r="26" spans="1:7" ht="15.75" x14ac:dyDescent="0.25">
      <c r="A26" s="117">
        <v>4</v>
      </c>
      <c r="B26" s="118" t="s">
        <v>108</v>
      </c>
      <c r="C26" s="118"/>
      <c r="D26" s="117"/>
      <c r="E26" s="139"/>
      <c r="F26" s="186">
        <f>'Пробег ДЗ-180'!F24</f>
        <v>1108.8570230196276</v>
      </c>
      <c r="G26" s="117" t="s">
        <v>98</v>
      </c>
    </row>
    <row r="27" spans="1:7" ht="12" customHeight="1" x14ac:dyDescent="0.25">
      <c r="A27" s="113"/>
      <c r="B27" s="109"/>
      <c r="C27" s="109"/>
      <c r="D27" s="113"/>
      <c r="E27" s="112"/>
      <c r="F27" s="185"/>
      <c r="G27" s="113"/>
    </row>
    <row r="28" spans="1:7" ht="15.75" x14ac:dyDescent="0.25">
      <c r="A28" s="117">
        <v>5</v>
      </c>
      <c r="B28" s="118" t="s">
        <v>156</v>
      </c>
      <c r="C28" s="118"/>
      <c r="D28" s="117"/>
      <c r="E28" s="121"/>
      <c r="F28" s="124">
        <v>12.82</v>
      </c>
      <c r="G28" s="113" t="s">
        <v>111</v>
      </c>
    </row>
    <row r="29" spans="1:7" ht="15.75" x14ac:dyDescent="0.25">
      <c r="A29" s="113"/>
      <c r="B29" s="109"/>
      <c r="C29" s="140" t="s">
        <v>333</v>
      </c>
      <c r="D29" s="113"/>
      <c r="E29" s="108">
        <v>34.53</v>
      </c>
      <c r="F29" s="126">
        <f>F28*E29</f>
        <v>442.6746</v>
      </c>
      <c r="G29" s="117" t="s">
        <v>98</v>
      </c>
    </row>
    <row r="30" spans="1:7" ht="12" customHeight="1" x14ac:dyDescent="0.25">
      <c r="A30" s="113"/>
      <c r="B30" s="109"/>
      <c r="C30" s="109"/>
      <c r="D30" s="113"/>
      <c r="E30" s="112"/>
      <c r="F30" s="185"/>
      <c r="G30" s="113"/>
    </row>
    <row r="31" spans="1:7" ht="15.75" x14ac:dyDescent="0.25">
      <c r="A31" s="117">
        <v>6</v>
      </c>
      <c r="B31" s="118" t="s">
        <v>112</v>
      </c>
      <c r="C31" s="187"/>
      <c r="D31" s="188"/>
      <c r="E31" s="121"/>
      <c r="F31" s="186"/>
      <c r="G31" s="117"/>
    </row>
    <row r="32" spans="1:7" ht="15.75" x14ac:dyDescent="0.25">
      <c r="A32" s="113"/>
      <c r="B32" s="109" t="s">
        <v>113</v>
      </c>
      <c r="C32" s="109">
        <v>3.2000000000000001E-2</v>
      </c>
      <c r="D32" s="166" t="s">
        <v>191</v>
      </c>
      <c r="E32" s="112">
        <v>186.99</v>
      </c>
      <c r="F32" s="185">
        <f>C32*$F$28*E32</f>
        <v>76.7107776</v>
      </c>
      <c r="G32" s="113"/>
    </row>
    <row r="33" spans="1:7" ht="15.75" x14ac:dyDescent="0.25">
      <c r="A33" s="113"/>
      <c r="B33" s="109" t="s">
        <v>115</v>
      </c>
      <c r="C33" s="109">
        <v>4.0000000000000001E-3</v>
      </c>
      <c r="D33" s="189" t="s">
        <v>116</v>
      </c>
      <c r="E33" s="112">
        <v>107.82</v>
      </c>
      <c r="F33" s="185">
        <f>C33*$F$28*E33</f>
        <v>5.5290095999999993</v>
      </c>
      <c r="G33" s="113"/>
    </row>
    <row r="34" spans="1:7" ht="15.75" x14ac:dyDescent="0.25">
      <c r="A34" s="113"/>
      <c r="B34" s="109" t="s">
        <v>117</v>
      </c>
      <c r="C34" s="109">
        <v>1E-3</v>
      </c>
      <c r="D34" s="189" t="s">
        <v>116</v>
      </c>
      <c r="E34" s="112">
        <v>75.260000000000005</v>
      </c>
      <c r="F34" s="185">
        <f>C34*$F$28*E34</f>
        <v>0.96483320000000006</v>
      </c>
      <c r="G34" s="113"/>
    </row>
    <row r="35" spans="1:7" ht="15.75" x14ac:dyDescent="0.25">
      <c r="A35" s="113"/>
      <c r="B35" s="109" t="s">
        <v>118</v>
      </c>
      <c r="C35" s="109">
        <v>3.0000000000000001E-3</v>
      </c>
      <c r="D35" s="189" t="s">
        <v>116</v>
      </c>
      <c r="E35" s="112">
        <v>132.04</v>
      </c>
      <c r="F35" s="185">
        <f>C35*$F$28*E35</f>
        <v>5.0782584000000002</v>
      </c>
      <c r="G35" s="113"/>
    </row>
    <row r="36" spans="1:7" ht="15.75" x14ac:dyDescent="0.25">
      <c r="A36" s="113"/>
      <c r="B36" s="109" t="s">
        <v>119</v>
      </c>
      <c r="C36" s="118"/>
      <c r="D36" s="117"/>
      <c r="E36" s="121"/>
      <c r="F36" s="186">
        <f>SUM(F32:F35)</f>
        <v>88.282878799999992</v>
      </c>
      <c r="G36" s="117"/>
    </row>
    <row r="37" spans="1:7" ht="12" customHeight="1" x14ac:dyDescent="0.25">
      <c r="A37" s="113"/>
      <c r="B37" s="109"/>
      <c r="C37" s="109"/>
      <c r="D37" s="113"/>
      <c r="E37" s="138"/>
      <c r="F37" s="185"/>
      <c r="G37" s="113"/>
    </row>
    <row r="38" spans="1:7" ht="15.75" x14ac:dyDescent="0.25">
      <c r="A38" s="117">
        <v>7</v>
      </c>
      <c r="B38" s="118" t="s">
        <v>120</v>
      </c>
      <c r="C38" s="118"/>
      <c r="D38" s="117"/>
      <c r="E38" s="122">
        <v>0.6</v>
      </c>
      <c r="F38" s="186">
        <f>F20*E38</f>
        <v>71.557500000000005</v>
      </c>
      <c r="G38" s="117" t="s">
        <v>98</v>
      </c>
    </row>
    <row r="39" spans="1:7" ht="12" customHeight="1" x14ac:dyDescent="0.25">
      <c r="A39" s="113"/>
      <c r="B39" s="109"/>
      <c r="C39" s="109"/>
      <c r="D39" s="113"/>
      <c r="E39" s="138"/>
      <c r="F39" s="185"/>
      <c r="G39" s="113"/>
    </row>
    <row r="40" spans="1:7" ht="15.75" x14ac:dyDescent="0.25">
      <c r="A40" s="117">
        <v>8</v>
      </c>
      <c r="B40" s="118" t="s">
        <v>121</v>
      </c>
      <c r="C40" s="118"/>
      <c r="D40" s="117"/>
      <c r="E40" s="139"/>
      <c r="F40" s="186">
        <f>F20+F22+F24+F26+F29+F36+F38</f>
        <v>1904.4342817316697</v>
      </c>
      <c r="G40" s="117" t="s">
        <v>98</v>
      </c>
    </row>
    <row r="41" spans="1:7" ht="12" customHeight="1" x14ac:dyDescent="0.25">
      <c r="A41" s="117"/>
      <c r="B41" s="118"/>
      <c r="C41" s="118"/>
      <c r="D41" s="117"/>
      <c r="E41" s="139"/>
      <c r="F41" s="186"/>
      <c r="G41" s="117"/>
    </row>
    <row r="42" spans="1:7" ht="15.75" x14ac:dyDescent="0.25">
      <c r="A42" s="117">
        <v>9</v>
      </c>
      <c r="B42" s="118" t="s">
        <v>122</v>
      </c>
      <c r="C42" s="118"/>
      <c r="D42" s="117"/>
      <c r="E42" s="139"/>
      <c r="F42" s="186"/>
      <c r="G42" s="117"/>
    </row>
    <row r="43" spans="1:7" ht="15.75" x14ac:dyDescent="0.25">
      <c r="A43" s="113"/>
      <c r="B43" s="109" t="s">
        <v>123</v>
      </c>
      <c r="C43" s="109"/>
      <c r="D43" s="113"/>
      <c r="E43" s="138">
        <v>0.1</v>
      </c>
      <c r="F43" s="185">
        <f>F40*E43</f>
        <v>190.44342817316698</v>
      </c>
      <c r="G43" s="113" t="s">
        <v>98</v>
      </c>
    </row>
    <row r="44" spans="1:7" ht="15.75" x14ac:dyDescent="0.25">
      <c r="A44" s="113"/>
      <c r="B44" s="109" t="s">
        <v>124</v>
      </c>
      <c r="C44" s="109"/>
      <c r="D44" s="113"/>
      <c r="E44" s="138">
        <v>0.15</v>
      </c>
      <c r="F44" s="185">
        <f>F40*E44</f>
        <v>285.66514225975044</v>
      </c>
      <c r="G44" s="113" t="s">
        <v>98</v>
      </c>
    </row>
    <row r="45" spans="1:7" ht="12" customHeight="1" x14ac:dyDescent="0.25">
      <c r="A45" s="113"/>
      <c r="B45" s="109"/>
      <c r="C45" s="109"/>
      <c r="D45" s="113"/>
      <c r="E45" s="138"/>
      <c r="F45" s="185"/>
      <c r="G45" s="113"/>
    </row>
    <row r="46" spans="1:7" ht="15.75" x14ac:dyDescent="0.25">
      <c r="A46" s="117">
        <v>10</v>
      </c>
      <c r="B46" s="118" t="s">
        <v>125</v>
      </c>
      <c r="C46" s="118"/>
      <c r="D46" s="117"/>
      <c r="E46" s="139"/>
      <c r="F46" s="186"/>
      <c r="G46" s="117"/>
    </row>
    <row r="47" spans="1:7" ht="15.75" x14ac:dyDescent="0.25">
      <c r="A47" s="113"/>
      <c r="B47" s="109" t="s">
        <v>123</v>
      </c>
      <c r="C47" s="109"/>
      <c r="D47" s="113"/>
      <c r="E47" s="138"/>
      <c r="F47" s="186">
        <f>F40+F43</f>
        <v>2094.8777099048366</v>
      </c>
      <c r="G47" s="117" t="s">
        <v>98</v>
      </c>
    </row>
    <row r="48" spans="1:7" ht="15.75" x14ac:dyDescent="0.25">
      <c r="A48" s="113"/>
      <c r="B48" s="109" t="s">
        <v>124</v>
      </c>
      <c r="C48" s="109"/>
      <c r="D48" s="113"/>
      <c r="E48" s="138"/>
      <c r="F48" s="186">
        <f>F40+F44</f>
        <v>2190.0994239914203</v>
      </c>
      <c r="G48" s="117" t="s">
        <v>98</v>
      </c>
    </row>
    <row r="49" spans="1:7" ht="15.75" x14ac:dyDescent="0.25">
      <c r="A49" s="104"/>
      <c r="B49" s="104"/>
      <c r="C49" s="104"/>
      <c r="D49" s="135"/>
      <c r="E49" s="182"/>
      <c r="F49" s="183"/>
      <c r="G49" s="104"/>
    </row>
    <row r="50" spans="1:7" ht="15.75" x14ac:dyDescent="0.25">
      <c r="A50" s="31"/>
      <c r="B50" s="83" t="s">
        <v>55</v>
      </c>
      <c r="C50" s="83"/>
      <c r="D50" s="83"/>
      <c r="E50" s="31"/>
      <c r="F50" s="62" t="s">
        <v>57</v>
      </c>
      <c r="G50" s="31"/>
    </row>
    <row r="51" spans="1:7" ht="15.75" x14ac:dyDescent="0.25">
      <c r="A51" s="31"/>
      <c r="B51" s="84" t="s">
        <v>56</v>
      </c>
      <c r="C51" s="83"/>
      <c r="D51" s="83"/>
      <c r="E51" s="31"/>
      <c r="F51" s="42"/>
      <c r="G51" s="31"/>
    </row>
  </sheetData>
  <mergeCells count="7">
    <mergeCell ref="C24:D24"/>
    <mergeCell ref="A6:G6"/>
    <mergeCell ref="A7:G7"/>
    <mergeCell ref="A8:A9"/>
    <mergeCell ref="B8:E9"/>
    <mergeCell ref="F8:G8"/>
    <mergeCell ref="B14:C14"/>
  </mergeCells>
  <pageMargins left="0.25" right="0.25" top="0.75" bottom="0.75" header="0.3" footer="0.3"/>
  <pageSetup paperSize="9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0"/>
  <sheetViews>
    <sheetView workbookViewId="0">
      <selection activeCell="L22" sqref="L22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20" t="s">
        <v>334</v>
      </c>
      <c r="B1" s="320"/>
      <c r="C1" s="320"/>
      <c r="D1" s="320"/>
      <c r="E1" s="320"/>
      <c r="F1" s="320"/>
      <c r="G1" s="320"/>
    </row>
    <row r="2" spans="1:7" x14ac:dyDescent="0.25">
      <c r="A2" s="319" t="s">
        <v>130</v>
      </c>
      <c r="B2" s="319"/>
      <c r="C2" s="319"/>
      <c r="D2" s="319"/>
      <c r="E2" s="319"/>
      <c r="F2" s="319"/>
      <c r="G2" s="3"/>
    </row>
    <row r="3" spans="1:7" x14ac:dyDescent="0.25">
      <c r="A3" s="87"/>
      <c r="B3" s="5">
        <f>'План. расчет времени'!F61</f>
        <v>275.23745644599308</v>
      </c>
      <c r="C3" s="3" t="s">
        <v>131</v>
      </c>
      <c r="D3" s="3"/>
      <c r="E3" s="3"/>
      <c r="F3" s="3"/>
      <c r="G3" s="3"/>
    </row>
    <row r="4" spans="1:7" x14ac:dyDescent="0.25">
      <c r="A4" s="319" t="s">
        <v>132</v>
      </c>
      <c r="B4" s="319"/>
      <c r="C4" s="319"/>
      <c r="D4" s="319"/>
      <c r="E4" s="319"/>
      <c r="F4" s="319"/>
      <c r="G4" s="86"/>
    </row>
    <row r="5" spans="1:7" x14ac:dyDescent="0.25">
      <c r="A5" s="3"/>
      <c r="B5" s="3">
        <v>40</v>
      </c>
      <c r="C5" s="3" t="s">
        <v>131</v>
      </c>
      <c r="D5" s="3"/>
      <c r="E5" s="3"/>
      <c r="F5" s="3"/>
      <c r="G5" s="86"/>
    </row>
    <row r="6" spans="1:7" x14ac:dyDescent="0.25">
      <c r="A6" s="319" t="s">
        <v>335</v>
      </c>
      <c r="B6" s="319"/>
      <c r="C6" s="319"/>
      <c r="D6" s="319"/>
      <c r="E6" s="319"/>
      <c r="F6" s="319"/>
      <c r="G6" s="86"/>
    </row>
    <row r="7" spans="1:7" x14ac:dyDescent="0.25">
      <c r="A7" s="319" t="s">
        <v>134</v>
      </c>
      <c r="B7" s="319"/>
      <c r="C7" s="319"/>
      <c r="D7" s="319"/>
      <c r="E7" s="319"/>
      <c r="F7" s="319"/>
      <c r="G7" s="319"/>
    </row>
    <row r="8" spans="1:7" x14ac:dyDescent="0.25">
      <c r="A8" s="319" t="s">
        <v>336</v>
      </c>
      <c r="B8" s="319"/>
      <c r="C8" s="319"/>
      <c r="D8" s="3">
        <v>72</v>
      </c>
      <c r="E8" s="3" t="s">
        <v>131</v>
      </c>
      <c r="F8" s="3"/>
      <c r="G8" s="3"/>
    </row>
    <row r="9" spans="1:7" x14ac:dyDescent="0.25">
      <c r="A9" s="86"/>
      <c r="B9" s="86"/>
      <c r="C9" s="86"/>
      <c r="D9" s="3"/>
      <c r="E9" s="3"/>
      <c r="F9" s="3"/>
      <c r="G9" s="3"/>
    </row>
    <row r="10" spans="1:7" x14ac:dyDescent="0.25">
      <c r="A10" s="322" t="s">
        <v>136</v>
      </c>
      <c r="B10" s="322"/>
      <c r="C10" s="322"/>
      <c r="D10" s="5">
        <f>B3-B5-D8</f>
        <v>163.23745644599308</v>
      </c>
      <c r="E10" s="3" t="s">
        <v>131</v>
      </c>
      <c r="F10" s="3"/>
      <c r="G10" s="86"/>
    </row>
    <row r="11" spans="1:7" x14ac:dyDescent="0.25">
      <c r="A11" s="86"/>
      <c r="B11" s="86"/>
      <c r="C11" s="86"/>
      <c r="D11" s="86"/>
      <c r="E11" s="86"/>
      <c r="F11" s="86"/>
      <c r="G11" s="86"/>
    </row>
    <row r="12" spans="1:7" x14ac:dyDescent="0.25">
      <c r="A12" s="319" t="s">
        <v>137</v>
      </c>
      <c r="B12" s="319"/>
      <c r="C12" s="319"/>
      <c r="D12" s="319"/>
      <c r="E12" s="319"/>
      <c r="F12" s="298">
        <f>'[1]Автогрейдер ДЗ-180'!$F$43</f>
        <v>181007</v>
      </c>
      <c r="G12" s="3" t="s">
        <v>98</v>
      </c>
    </row>
    <row r="13" spans="1:7" x14ac:dyDescent="0.25">
      <c r="A13" s="86"/>
      <c r="B13" s="86"/>
      <c r="C13" s="3"/>
      <c r="D13" s="3"/>
      <c r="E13" s="3"/>
      <c r="F13" s="87"/>
      <c r="G13" s="87"/>
    </row>
    <row r="14" spans="1:7" ht="15.75" thickBot="1" x14ac:dyDescent="0.3">
      <c r="A14" s="378" t="s">
        <v>138</v>
      </c>
      <c r="B14" s="376" t="s">
        <v>139</v>
      </c>
      <c r="C14" s="376"/>
      <c r="D14" s="376"/>
      <c r="E14" s="3"/>
      <c r="F14" s="87"/>
      <c r="G14" s="87"/>
    </row>
    <row r="15" spans="1:7" x14ac:dyDescent="0.25">
      <c r="A15" s="378"/>
      <c r="B15" s="377" t="s">
        <v>140</v>
      </c>
      <c r="C15" s="377"/>
      <c r="D15" s="377"/>
      <c r="E15" s="3"/>
      <c r="F15" s="87"/>
      <c r="G15" s="87"/>
    </row>
    <row r="16" spans="1:7" x14ac:dyDescent="0.25">
      <c r="A16" s="90"/>
      <c r="B16" s="91"/>
      <c r="C16" s="91"/>
      <c r="D16" s="91"/>
      <c r="E16" s="3"/>
      <c r="F16" s="87"/>
      <c r="G16" s="87"/>
    </row>
    <row r="17" spans="1:7" ht="15.75" thickBot="1" x14ac:dyDescent="0.3">
      <c r="A17" s="375" t="s">
        <v>141</v>
      </c>
      <c r="B17" s="375"/>
      <c r="C17" s="376" t="s">
        <v>142</v>
      </c>
      <c r="D17" s="376"/>
      <c r="E17" s="376"/>
      <c r="F17" s="87"/>
      <c r="G17" s="87"/>
    </row>
    <row r="18" spans="1:7" x14ac:dyDescent="0.25">
      <c r="A18" s="375"/>
      <c r="B18" s="375"/>
      <c r="C18" s="377" t="s">
        <v>140</v>
      </c>
      <c r="D18" s="377"/>
      <c r="E18" s="377"/>
      <c r="F18" s="87"/>
      <c r="G18" s="87"/>
    </row>
    <row r="19" spans="1:7" x14ac:dyDescent="0.25">
      <c r="A19" s="9"/>
      <c r="B19" s="9"/>
      <c r="C19" s="92"/>
      <c r="D19" s="92"/>
      <c r="E19" s="92"/>
      <c r="F19" s="87"/>
      <c r="G19" s="87"/>
    </row>
    <row r="20" spans="1:7" x14ac:dyDescent="0.25">
      <c r="A20" s="9"/>
      <c r="B20" s="9"/>
      <c r="C20" s="92"/>
      <c r="D20" s="92"/>
      <c r="E20" s="323" t="s">
        <v>12</v>
      </c>
      <c r="F20" s="323"/>
      <c r="G20" s="87"/>
    </row>
    <row r="21" spans="1:7" x14ac:dyDescent="0.25">
      <c r="A21" s="324" t="s">
        <v>143</v>
      </c>
      <c r="B21" s="324"/>
      <c r="C21" s="324"/>
      <c r="D21" s="324"/>
      <c r="E21" s="324"/>
      <c r="F21" s="324"/>
      <c r="G21" s="87"/>
    </row>
    <row r="22" spans="1:7" x14ac:dyDescent="0.25">
      <c r="A22" s="380" t="s">
        <v>144</v>
      </c>
      <c r="B22" s="382" t="s">
        <v>15</v>
      </c>
      <c r="C22" s="383"/>
      <c r="D22" s="383"/>
      <c r="E22" s="384" t="s">
        <v>145</v>
      </c>
      <c r="F22" s="384"/>
      <c r="G22" s="93"/>
    </row>
    <row r="23" spans="1:7" ht="45" x14ac:dyDescent="0.25">
      <c r="A23" s="381"/>
      <c r="B23" s="94" t="s">
        <v>146</v>
      </c>
      <c r="C23" s="94" t="s">
        <v>147</v>
      </c>
      <c r="D23" s="95" t="s">
        <v>148</v>
      </c>
      <c r="E23" s="94" t="s">
        <v>149</v>
      </c>
      <c r="F23" s="94" t="s">
        <v>150</v>
      </c>
      <c r="G23" s="96"/>
    </row>
    <row r="24" spans="1:7" x14ac:dyDescent="0.25">
      <c r="A24" s="97" t="s">
        <v>48</v>
      </c>
      <c r="B24" s="98">
        <v>6167.52</v>
      </c>
      <c r="C24" s="99">
        <f>F12</f>
        <v>181007</v>
      </c>
      <c r="D24" s="100">
        <f>D10</f>
        <v>163.23745644599308</v>
      </c>
      <c r="E24" s="99">
        <f>B24/D24</f>
        <v>37.782504912042157</v>
      </c>
      <c r="F24" s="98">
        <f>C24/D24</f>
        <v>1108.8570230196276</v>
      </c>
      <c r="G24" s="12"/>
    </row>
    <row r="25" spans="1:7" x14ac:dyDescent="0.25">
      <c r="A25" s="87"/>
      <c r="B25" s="87"/>
      <c r="C25" s="87"/>
      <c r="D25" s="87"/>
      <c r="E25" s="87"/>
      <c r="F25" s="87"/>
      <c r="G25" s="87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ht="15.75" x14ac:dyDescent="0.25">
      <c r="A29" s="385" t="s">
        <v>55</v>
      </c>
      <c r="B29" s="385"/>
      <c r="C29" s="385"/>
      <c r="D29" s="31"/>
      <c r="E29" s="343" t="s">
        <v>57</v>
      </c>
      <c r="F29" s="343"/>
      <c r="G29" s="343"/>
    </row>
    <row r="30" spans="1:7" ht="15.75" x14ac:dyDescent="0.25">
      <c r="A30" s="379" t="s">
        <v>56</v>
      </c>
      <c r="B30" s="379"/>
      <c r="C30" s="379"/>
      <c r="D30" s="31"/>
      <c r="E30" s="31"/>
      <c r="F30" s="84"/>
      <c r="G30" s="31"/>
    </row>
  </sheetData>
  <mergeCells count="22">
    <mergeCell ref="A30:C30"/>
    <mergeCell ref="E20:F20"/>
    <mergeCell ref="A21:F21"/>
    <mergeCell ref="A22:A23"/>
    <mergeCell ref="B22:D22"/>
    <mergeCell ref="E22:F22"/>
    <mergeCell ref="A29:C29"/>
    <mergeCell ref="E29:G29"/>
    <mergeCell ref="A17:B18"/>
    <mergeCell ref="C17:E17"/>
    <mergeCell ref="C18:E18"/>
    <mergeCell ref="A1:G1"/>
    <mergeCell ref="A2:F2"/>
    <mergeCell ref="A4:F4"/>
    <mergeCell ref="A6:F6"/>
    <mergeCell ref="A7:G7"/>
    <mergeCell ref="A8:C8"/>
    <mergeCell ref="A10:C10"/>
    <mergeCell ref="A12:E12"/>
    <mergeCell ref="A14:A15"/>
    <mergeCell ref="B14:D14"/>
    <mergeCell ref="B15:D15"/>
  </mergeCells>
  <pageMargins left="0.7" right="0.7" top="0.75" bottom="0.75" header="0.3" footer="0.3"/>
  <pageSetup paperSize="9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opLeftCell="A13" workbookViewId="0">
      <selection activeCell="E38" sqref="E38"/>
    </sheetView>
  </sheetViews>
  <sheetFormatPr defaultRowHeight="15" x14ac:dyDescent="0.25"/>
  <cols>
    <col min="1" max="1" width="4.5703125" customWidth="1"/>
    <col min="2" max="2" width="29.7109375" customWidth="1"/>
    <col min="3" max="3" width="7.7109375" customWidth="1"/>
    <col min="4" max="4" width="13.7109375" customWidth="1"/>
    <col min="5" max="5" width="8.42578125" customWidth="1"/>
    <col min="6" max="6" width="14.5703125" customWidth="1"/>
    <col min="7" max="7" width="1.5703125" customWidth="1"/>
    <col min="8" max="8" width="14.7109375" customWidth="1"/>
    <col min="9" max="9" width="2" customWidth="1"/>
  </cols>
  <sheetData>
    <row r="1" spans="1:9" ht="15.75" x14ac:dyDescent="0.25">
      <c r="A1" s="31"/>
      <c r="B1" s="31"/>
      <c r="C1" s="290"/>
      <c r="D1" s="290"/>
      <c r="E1" s="63"/>
      <c r="F1" s="63"/>
      <c r="I1" s="64" t="s">
        <v>59</v>
      </c>
    </row>
    <row r="2" spans="1:9" ht="15.75" x14ac:dyDescent="0.25">
      <c r="A2" s="31"/>
      <c r="B2" s="31"/>
      <c r="C2" s="290"/>
      <c r="D2" s="290"/>
      <c r="E2" s="63"/>
      <c r="F2" s="63"/>
      <c r="I2" s="64" t="s">
        <v>60</v>
      </c>
    </row>
    <row r="3" spans="1:9" ht="15.75" x14ac:dyDescent="0.25">
      <c r="A3" s="31"/>
      <c r="B3" s="31"/>
      <c r="C3" s="290"/>
      <c r="D3" s="290"/>
      <c r="E3" s="63"/>
      <c r="F3" s="63"/>
      <c r="I3" s="64" t="s">
        <v>388</v>
      </c>
    </row>
    <row r="4" spans="1:9" ht="15.75" x14ac:dyDescent="0.25">
      <c r="A4" s="31"/>
      <c r="B4" s="31"/>
      <c r="C4" s="290"/>
      <c r="D4" s="290"/>
      <c r="E4" s="63"/>
      <c r="F4" s="63"/>
      <c r="I4" s="64" t="s">
        <v>389</v>
      </c>
    </row>
    <row r="5" spans="1:9" ht="15.75" x14ac:dyDescent="0.25">
      <c r="A5" s="31"/>
      <c r="B5" s="31"/>
      <c r="C5" s="290"/>
      <c r="D5" s="290"/>
      <c r="E5" s="31"/>
      <c r="F5" s="42"/>
      <c r="G5" s="31"/>
      <c r="H5" s="108"/>
      <c r="I5" s="104"/>
    </row>
    <row r="6" spans="1:9" ht="15.75" x14ac:dyDescent="0.25">
      <c r="A6" s="396" t="s">
        <v>93</v>
      </c>
      <c r="B6" s="396"/>
      <c r="C6" s="396"/>
      <c r="D6" s="396"/>
      <c r="E6" s="396"/>
      <c r="F6" s="396"/>
      <c r="G6" s="396"/>
      <c r="H6" s="396"/>
      <c r="I6" s="396"/>
    </row>
    <row r="7" spans="1:9" ht="15.75" x14ac:dyDescent="0.25">
      <c r="A7" s="396" t="s">
        <v>337</v>
      </c>
      <c r="B7" s="396"/>
      <c r="C7" s="396"/>
      <c r="D7" s="396"/>
      <c r="E7" s="396"/>
      <c r="F7" s="396"/>
      <c r="G7" s="396"/>
      <c r="H7" s="396"/>
      <c r="I7" s="396"/>
    </row>
    <row r="8" spans="1:9" ht="15" customHeight="1" x14ac:dyDescent="0.25">
      <c r="A8" s="353" t="s">
        <v>13</v>
      </c>
      <c r="B8" s="390" t="s">
        <v>95</v>
      </c>
      <c r="C8" s="391"/>
      <c r="D8" s="391"/>
      <c r="E8" s="392"/>
      <c r="F8" s="390" t="s">
        <v>371</v>
      </c>
      <c r="G8" s="392"/>
      <c r="H8" s="390" t="s">
        <v>372</v>
      </c>
      <c r="I8" s="392"/>
    </row>
    <row r="9" spans="1:9" ht="15" customHeight="1" x14ac:dyDescent="0.25">
      <c r="A9" s="354"/>
      <c r="B9" s="393"/>
      <c r="C9" s="394"/>
      <c r="D9" s="394"/>
      <c r="E9" s="395"/>
      <c r="F9" s="393"/>
      <c r="G9" s="395"/>
      <c r="H9" s="393"/>
      <c r="I9" s="395"/>
    </row>
    <row r="10" spans="1:9" ht="15.75" x14ac:dyDescent="0.25">
      <c r="A10" s="109"/>
      <c r="B10" s="109" t="s">
        <v>153</v>
      </c>
      <c r="C10" s="109"/>
      <c r="D10" s="113"/>
      <c r="E10" s="113"/>
      <c r="F10" s="523">
        <v>68.150000000000006</v>
      </c>
      <c r="G10" s="524"/>
      <c r="H10" s="523">
        <f>F10</f>
        <v>68.150000000000006</v>
      </c>
      <c r="I10" s="524"/>
    </row>
    <row r="11" spans="1:9" ht="12" customHeight="1" x14ac:dyDescent="0.25">
      <c r="A11" s="109"/>
      <c r="B11" s="109"/>
      <c r="C11" s="109"/>
      <c r="D11" s="113"/>
      <c r="E11" s="113"/>
      <c r="F11" s="523"/>
      <c r="G11" s="524"/>
      <c r="H11" s="523"/>
      <c r="I11" s="524"/>
    </row>
    <row r="12" spans="1:9" ht="15.75" x14ac:dyDescent="0.25">
      <c r="A12" s="109"/>
      <c r="B12" s="109" t="s">
        <v>318</v>
      </c>
      <c r="C12" s="109"/>
      <c r="D12" s="113"/>
      <c r="E12" s="166">
        <v>0.25</v>
      </c>
      <c r="F12" s="523">
        <f>F10*E12</f>
        <v>17.037500000000001</v>
      </c>
      <c r="G12" s="524"/>
      <c r="H12" s="523">
        <f>F12</f>
        <v>17.037500000000001</v>
      </c>
      <c r="I12" s="524"/>
    </row>
    <row r="13" spans="1:9" ht="12" customHeight="1" x14ac:dyDescent="0.25">
      <c r="A13" s="109"/>
      <c r="B13" s="109"/>
      <c r="C13" s="109"/>
      <c r="D13" s="113"/>
      <c r="E13" s="113"/>
      <c r="F13" s="523"/>
      <c r="G13" s="524"/>
      <c r="H13" s="523"/>
      <c r="I13" s="524"/>
    </row>
    <row r="14" spans="1:9" ht="15.75" x14ac:dyDescent="0.25">
      <c r="A14" s="109"/>
      <c r="B14" s="109" t="s">
        <v>100</v>
      </c>
      <c r="C14" s="109"/>
      <c r="D14" s="113"/>
      <c r="E14" s="166">
        <v>0.1</v>
      </c>
      <c r="F14" s="523">
        <f>F10*E14</f>
        <v>6.8150000000000013</v>
      </c>
      <c r="G14" s="524"/>
      <c r="H14" s="523">
        <f>F14</f>
        <v>6.8150000000000013</v>
      </c>
      <c r="I14" s="524"/>
    </row>
    <row r="15" spans="1:9" ht="12" customHeight="1" x14ac:dyDescent="0.25">
      <c r="A15" s="109"/>
      <c r="B15" s="109"/>
      <c r="C15" s="109"/>
      <c r="D15" s="113"/>
      <c r="E15" s="113"/>
      <c r="F15" s="523"/>
      <c r="G15" s="524"/>
      <c r="H15" s="523"/>
      <c r="I15" s="524"/>
    </row>
    <row r="16" spans="1:9" ht="15.75" x14ac:dyDescent="0.25">
      <c r="A16" s="109"/>
      <c r="B16" s="109" t="s">
        <v>101</v>
      </c>
      <c r="C16" s="109"/>
      <c r="D16" s="113"/>
      <c r="E16" s="166">
        <v>0.4</v>
      </c>
      <c r="F16" s="523">
        <f>F10*E16</f>
        <v>27.260000000000005</v>
      </c>
      <c r="G16" s="524"/>
      <c r="H16" s="523">
        <f>F16</f>
        <v>27.260000000000005</v>
      </c>
      <c r="I16" s="524"/>
    </row>
    <row r="17" spans="1:9" ht="12" customHeight="1" x14ac:dyDescent="0.25">
      <c r="A17" s="109"/>
      <c r="B17" s="109"/>
      <c r="C17" s="109"/>
      <c r="D17" s="113"/>
      <c r="E17" s="166"/>
      <c r="F17" s="523"/>
      <c r="G17" s="524"/>
      <c r="H17" s="523"/>
      <c r="I17" s="524"/>
    </row>
    <row r="18" spans="1:9" ht="15.75" x14ac:dyDescent="0.25">
      <c r="A18" s="109"/>
      <c r="B18" s="109" t="s">
        <v>102</v>
      </c>
      <c r="C18" s="109"/>
      <c r="D18" s="113"/>
      <c r="E18" s="113"/>
      <c r="F18" s="523">
        <v>60</v>
      </c>
      <c r="G18" s="524"/>
      <c r="H18" s="523">
        <f>F18</f>
        <v>60</v>
      </c>
      <c r="I18" s="524"/>
    </row>
    <row r="19" spans="1:9" ht="12" customHeight="1" x14ac:dyDescent="0.25">
      <c r="A19" s="109"/>
      <c r="B19" s="109"/>
      <c r="C19" s="109"/>
      <c r="D19" s="113"/>
      <c r="E19" s="113"/>
      <c r="F19" s="523"/>
      <c r="G19" s="524"/>
      <c r="H19" s="523"/>
      <c r="I19" s="524"/>
    </row>
    <row r="20" spans="1:9" ht="15.75" x14ac:dyDescent="0.25">
      <c r="A20" s="117">
        <v>1</v>
      </c>
      <c r="B20" s="118" t="s">
        <v>104</v>
      </c>
      <c r="C20" s="118"/>
      <c r="D20" s="117"/>
      <c r="E20" s="117"/>
      <c r="F20" s="523">
        <f>F10+F12+F14+F16</f>
        <v>119.2625</v>
      </c>
      <c r="G20" s="524"/>
      <c r="H20" s="523">
        <f>F20</f>
        <v>119.2625</v>
      </c>
      <c r="I20" s="524"/>
    </row>
    <row r="21" spans="1:9" ht="12" customHeight="1" x14ac:dyDescent="0.25">
      <c r="A21" s="113"/>
      <c r="B21" s="109"/>
      <c r="C21" s="109"/>
      <c r="D21" s="113"/>
      <c r="E21" s="113"/>
      <c r="F21" s="523"/>
      <c r="G21" s="524"/>
      <c r="H21" s="523"/>
      <c r="I21" s="524"/>
    </row>
    <row r="22" spans="1:9" ht="15.75" x14ac:dyDescent="0.25">
      <c r="A22" s="117">
        <v>2</v>
      </c>
      <c r="B22" s="118" t="s">
        <v>105</v>
      </c>
      <c r="C22" s="118"/>
      <c r="D22" s="117"/>
      <c r="E22" s="168">
        <v>0.30199999999999999</v>
      </c>
      <c r="F22" s="523">
        <f>E22*F20</f>
        <v>36.017274999999998</v>
      </c>
      <c r="G22" s="524"/>
      <c r="H22" s="523">
        <f>F22</f>
        <v>36.017274999999998</v>
      </c>
      <c r="I22" s="524"/>
    </row>
    <row r="23" spans="1:9" ht="12" customHeight="1" x14ac:dyDescent="0.25">
      <c r="A23" s="113"/>
      <c r="B23" s="109"/>
      <c r="C23" s="109"/>
      <c r="D23" s="113"/>
      <c r="E23" s="166"/>
      <c r="F23" s="523"/>
      <c r="G23" s="524"/>
      <c r="H23" s="523"/>
      <c r="I23" s="524"/>
    </row>
    <row r="24" spans="1:9" ht="15.75" x14ac:dyDescent="0.25">
      <c r="A24" s="117">
        <v>3</v>
      </c>
      <c r="B24" s="118" t="s">
        <v>106</v>
      </c>
      <c r="C24" s="425" t="s">
        <v>195</v>
      </c>
      <c r="D24" s="426"/>
      <c r="E24" s="168"/>
      <c r="F24" s="523">
        <v>0</v>
      </c>
      <c r="G24" s="524"/>
      <c r="H24" s="523">
        <f>F24</f>
        <v>0</v>
      </c>
      <c r="I24" s="524"/>
    </row>
    <row r="25" spans="1:9" ht="12" customHeight="1" x14ac:dyDescent="0.25">
      <c r="A25" s="113"/>
      <c r="B25" s="109"/>
      <c r="C25" s="109"/>
      <c r="D25" s="113"/>
      <c r="E25" s="166"/>
      <c r="F25" s="523"/>
      <c r="G25" s="524"/>
      <c r="H25" s="523"/>
      <c r="I25" s="524"/>
    </row>
    <row r="26" spans="1:9" ht="15.75" x14ac:dyDescent="0.25">
      <c r="A26" s="117">
        <v>4</v>
      </c>
      <c r="B26" s="118" t="s">
        <v>108</v>
      </c>
      <c r="C26" s="118"/>
      <c r="D26" s="117"/>
      <c r="E26" s="168"/>
      <c r="F26" s="523">
        <v>298</v>
      </c>
      <c r="G26" s="524"/>
      <c r="H26" s="523">
        <f>F26</f>
        <v>298</v>
      </c>
      <c r="I26" s="524"/>
    </row>
    <row r="27" spans="1:9" ht="12" customHeight="1" x14ac:dyDescent="0.25">
      <c r="A27" s="113"/>
      <c r="B27" s="109"/>
      <c r="C27" s="109"/>
      <c r="D27" s="113"/>
      <c r="E27" s="170"/>
      <c r="F27" s="523"/>
      <c r="G27" s="524"/>
      <c r="H27" s="523"/>
      <c r="I27" s="524"/>
    </row>
    <row r="28" spans="1:9" ht="15.75" x14ac:dyDescent="0.25">
      <c r="A28" s="117">
        <v>5</v>
      </c>
      <c r="B28" s="118" t="s">
        <v>156</v>
      </c>
      <c r="C28" s="118"/>
      <c r="D28" s="117"/>
      <c r="E28" s="171"/>
      <c r="F28" s="523">
        <v>2.7</v>
      </c>
      <c r="G28" s="524"/>
      <c r="H28" s="523">
        <f>F28</f>
        <v>2.7</v>
      </c>
      <c r="I28" s="524"/>
    </row>
    <row r="29" spans="1:9" ht="15.75" customHeight="1" x14ac:dyDescent="0.25">
      <c r="A29" s="113"/>
      <c r="B29" s="109"/>
      <c r="C29" s="140" t="s">
        <v>338</v>
      </c>
      <c r="D29" s="113"/>
      <c r="E29" s="198">
        <v>34.53</v>
      </c>
      <c r="F29" s="523">
        <f>F28*E29</f>
        <v>93.231000000000009</v>
      </c>
      <c r="G29" s="524"/>
      <c r="H29" s="523"/>
      <c r="I29" s="524"/>
    </row>
    <row r="30" spans="1:9" ht="15.75" x14ac:dyDescent="0.25">
      <c r="A30" s="113"/>
      <c r="B30" s="109"/>
      <c r="C30" s="109"/>
      <c r="D30" s="113"/>
      <c r="E30" s="170"/>
      <c r="F30" s="523"/>
      <c r="G30" s="524"/>
      <c r="H30" s="523"/>
      <c r="I30" s="524"/>
    </row>
    <row r="31" spans="1:9" ht="15.75" x14ac:dyDescent="0.25">
      <c r="A31" s="117">
        <v>6</v>
      </c>
      <c r="B31" s="118" t="s">
        <v>112</v>
      </c>
      <c r="C31" s="248"/>
      <c r="D31" s="117"/>
      <c r="E31" s="249"/>
      <c r="F31" s="523"/>
      <c r="G31" s="524"/>
      <c r="H31" s="523"/>
      <c r="I31" s="524"/>
    </row>
    <row r="32" spans="1:9" ht="15.75" x14ac:dyDescent="0.25">
      <c r="A32" s="113"/>
      <c r="B32" s="109" t="s">
        <v>113</v>
      </c>
      <c r="C32" s="200">
        <v>3.2000000000000001E-2</v>
      </c>
      <c r="D32" s="176" t="s">
        <v>114</v>
      </c>
      <c r="E32" s="112">
        <v>186.99</v>
      </c>
      <c r="F32" s="523">
        <f>C32*$F$28*E32</f>
        <v>16.155936000000001</v>
      </c>
      <c r="G32" s="524"/>
      <c r="H32" s="523">
        <f>F32</f>
        <v>16.155936000000001</v>
      </c>
      <c r="I32" s="524"/>
    </row>
    <row r="33" spans="1:9" ht="15.75" x14ac:dyDescent="0.25">
      <c r="A33" s="113"/>
      <c r="B33" s="109" t="s">
        <v>115</v>
      </c>
      <c r="C33" s="200">
        <v>4.0000000000000001E-3</v>
      </c>
      <c r="D33" s="178" t="s">
        <v>116</v>
      </c>
      <c r="E33" s="112">
        <v>107.82</v>
      </c>
      <c r="F33" s="523">
        <f>C33*$F$28*E33</f>
        <v>1.1644559999999999</v>
      </c>
      <c r="G33" s="524"/>
      <c r="H33" s="523">
        <f>F33</f>
        <v>1.1644559999999999</v>
      </c>
      <c r="I33" s="524"/>
    </row>
    <row r="34" spans="1:9" ht="15.75" x14ac:dyDescent="0.25">
      <c r="A34" s="113"/>
      <c r="B34" s="109" t="s">
        <v>117</v>
      </c>
      <c r="C34" s="200">
        <v>1E-3</v>
      </c>
      <c r="D34" s="178" t="s">
        <v>116</v>
      </c>
      <c r="E34" s="112">
        <v>75.260000000000005</v>
      </c>
      <c r="F34" s="523">
        <f>C34*$F$28*E34</f>
        <v>0.20320200000000002</v>
      </c>
      <c r="G34" s="524"/>
      <c r="H34" s="523">
        <f>F34</f>
        <v>0.20320200000000002</v>
      </c>
      <c r="I34" s="524"/>
    </row>
    <row r="35" spans="1:9" ht="15.75" x14ac:dyDescent="0.25">
      <c r="A35" s="113"/>
      <c r="B35" s="109" t="s">
        <v>118</v>
      </c>
      <c r="C35" s="202">
        <v>3.0000000000000001E-3</v>
      </c>
      <c r="D35" s="179" t="s">
        <v>116</v>
      </c>
      <c r="E35" s="112">
        <v>132.04</v>
      </c>
      <c r="F35" s="523">
        <f>C35*$F$28*E35</f>
        <v>1.0695240000000001</v>
      </c>
      <c r="G35" s="524"/>
      <c r="H35" s="523">
        <f>F35</f>
        <v>1.0695240000000001</v>
      </c>
      <c r="I35" s="524"/>
    </row>
    <row r="36" spans="1:9" ht="15.75" x14ac:dyDescent="0.25">
      <c r="A36" s="113"/>
      <c r="B36" s="109" t="s">
        <v>119</v>
      </c>
      <c r="C36" s="118"/>
      <c r="D36" s="180"/>
      <c r="E36" s="171"/>
      <c r="F36" s="523">
        <f>SUM(F32:F35)</f>
        <v>18.593118000000004</v>
      </c>
      <c r="G36" s="524"/>
      <c r="H36" s="523">
        <f>SUM(H32:H35)</f>
        <v>18.593118000000004</v>
      </c>
      <c r="I36" s="524"/>
    </row>
    <row r="37" spans="1:9" ht="12.75" customHeight="1" x14ac:dyDescent="0.25">
      <c r="A37" s="113"/>
      <c r="B37" s="109"/>
      <c r="C37" s="109"/>
      <c r="D37" s="113"/>
      <c r="E37" s="207"/>
      <c r="F37" s="523"/>
      <c r="G37" s="524"/>
      <c r="H37" s="523"/>
      <c r="I37" s="524"/>
    </row>
    <row r="38" spans="1:9" ht="15.75" x14ac:dyDescent="0.25">
      <c r="A38" s="117">
        <v>7</v>
      </c>
      <c r="B38" s="118" t="s">
        <v>120</v>
      </c>
      <c r="C38" s="118"/>
      <c r="D38" s="117"/>
      <c r="E38" s="122">
        <v>0.6</v>
      </c>
      <c r="F38" s="523">
        <f>F20*E38</f>
        <v>71.557500000000005</v>
      </c>
      <c r="G38" s="524"/>
      <c r="H38" s="523">
        <f>F38</f>
        <v>71.557500000000005</v>
      </c>
      <c r="I38" s="524"/>
    </row>
    <row r="39" spans="1:9" ht="12.75" customHeight="1" x14ac:dyDescent="0.25">
      <c r="A39" s="113"/>
      <c r="B39" s="109"/>
      <c r="C39" s="109"/>
      <c r="D39" s="113"/>
      <c r="E39" s="166"/>
      <c r="F39" s="523"/>
      <c r="G39" s="524"/>
      <c r="H39" s="523"/>
      <c r="I39" s="524"/>
    </row>
    <row r="40" spans="1:9" ht="15.75" x14ac:dyDescent="0.25">
      <c r="A40" s="117">
        <v>8</v>
      </c>
      <c r="B40" s="118" t="s">
        <v>121</v>
      </c>
      <c r="C40" s="118"/>
      <c r="D40" s="117"/>
      <c r="E40" s="168"/>
      <c r="F40" s="523">
        <f>F20+F22+F24+F26+F29+F36+F38</f>
        <v>636.66139299999998</v>
      </c>
      <c r="G40" s="524"/>
      <c r="H40" s="523">
        <f>H20+H22+H24+H26+H36+H38</f>
        <v>543.43039299999998</v>
      </c>
      <c r="I40" s="524"/>
    </row>
    <row r="41" spans="1:9" ht="12.75" customHeight="1" x14ac:dyDescent="0.25">
      <c r="A41" s="117"/>
      <c r="B41" s="118"/>
      <c r="C41" s="118"/>
      <c r="D41" s="117"/>
      <c r="E41" s="168"/>
      <c r="F41" s="523"/>
      <c r="G41" s="524"/>
      <c r="H41" s="523"/>
      <c r="I41" s="524"/>
    </row>
    <row r="42" spans="1:9" ht="15.75" x14ac:dyDescent="0.25">
      <c r="A42" s="117">
        <v>9</v>
      </c>
      <c r="B42" s="118" t="s">
        <v>122</v>
      </c>
      <c r="C42" s="118"/>
      <c r="D42" s="117"/>
      <c r="E42" s="168"/>
      <c r="F42" s="523"/>
      <c r="G42" s="524"/>
      <c r="H42" s="523"/>
      <c r="I42" s="524"/>
    </row>
    <row r="43" spans="1:9" ht="15.75" x14ac:dyDescent="0.25">
      <c r="A43" s="113"/>
      <c r="B43" s="109" t="s">
        <v>123</v>
      </c>
      <c r="C43" s="109"/>
      <c r="D43" s="113"/>
      <c r="E43" s="166">
        <v>0.1</v>
      </c>
      <c r="F43" s="523">
        <f>F40*E43</f>
        <v>63.666139299999998</v>
      </c>
      <c r="G43" s="524"/>
      <c r="H43" s="523">
        <f>H40*E43</f>
        <v>54.343039300000001</v>
      </c>
      <c r="I43" s="524"/>
    </row>
    <row r="44" spans="1:9" ht="15.75" x14ac:dyDescent="0.25">
      <c r="A44" s="113"/>
      <c r="B44" s="109" t="s">
        <v>124</v>
      </c>
      <c r="C44" s="109"/>
      <c r="D44" s="113"/>
      <c r="E44" s="166">
        <v>0.15</v>
      </c>
      <c r="F44" s="523">
        <f>F40*E44</f>
        <v>95.499208949999996</v>
      </c>
      <c r="G44" s="524"/>
      <c r="H44" s="523">
        <f>H40*E44</f>
        <v>81.514558949999994</v>
      </c>
      <c r="I44" s="524"/>
    </row>
    <row r="45" spans="1:9" ht="12.75" customHeight="1" x14ac:dyDescent="0.25">
      <c r="A45" s="113"/>
      <c r="B45" s="109"/>
      <c r="C45" s="109"/>
      <c r="D45" s="113"/>
      <c r="E45" s="166"/>
      <c r="F45" s="523"/>
      <c r="G45" s="524"/>
      <c r="H45" s="523"/>
      <c r="I45" s="524"/>
    </row>
    <row r="46" spans="1:9" ht="15.75" x14ac:dyDescent="0.25">
      <c r="A46" s="117">
        <v>10</v>
      </c>
      <c r="B46" s="118" t="s">
        <v>125</v>
      </c>
      <c r="C46" s="118"/>
      <c r="D46" s="117"/>
      <c r="E46" s="168"/>
      <c r="F46" s="523"/>
      <c r="G46" s="524"/>
      <c r="H46" s="523"/>
      <c r="I46" s="524"/>
    </row>
    <row r="47" spans="1:9" ht="15.75" x14ac:dyDescent="0.25">
      <c r="A47" s="113"/>
      <c r="B47" s="109" t="s">
        <v>123</v>
      </c>
      <c r="C47" s="109"/>
      <c r="D47" s="113"/>
      <c r="E47" s="168"/>
      <c r="F47" s="523">
        <f>F40+F43</f>
        <v>700.32753230000003</v>
      </c>
      <c r="G47" s="524"/>
      <c r="H47" s="523">
        <f>H40+H43</f>
        <v>597.77343229999997</v>
      </c>
      <c r="I47" s="524"/>
    </row>
    <row r="48" spans="1:9" ht="15.75" x14ac:dyDescent="0.25">
      <c r="A48" s="113"/>
      <c r="B48" s="109" t="s">
        <v>124</v>
      </c>
      <c r="C48" s="109"/>
      <c r="D48" s="113"/>
      <c r="E48" s="168"/>
      <c r="F48" s="523">
        <f>F40+F44</f>
        <v>732.16060195</v>
      </c>
      <c r="G48" s="524"/>
      <c r="H48" s="523">
        <f>H40+H44</f>
        <v>624.94495195000002</v>
      </c>
      <c r="I48" s="524"/>
    </row>
    <row r="49" spans="1:9" ht="15.75" x14ac:dyDescent="0.25">
      <c r="A49" s="104"/>
      <c r="B49" s="104"/>
      <c r="C49" s="104"/>
      <c r="D49" s="135"/>
      <c r="E49" s="135"/>
      <c r="F49" s="108"/>
      <c r="G49" s="104"/>
      <c r="H49" s="108"/>
      <c r="I49" s="104"/>
    </row>
    <row r="50" spans="1:9" ht="15.75" x14ac:dyDescent="0.25">
      <c r="A50" s="104"/>
      <c r="B50" s="385" t="s">
        <v>55</v>
      </c>
      <c r="C50" s="385"/>
      <c r="D50" s="385"/>
      <c r="E50" s="31"/>
      <c r="F50" s="343" t="s">
        <v>57</v>
      </c>
      <c r="G50" s="343"/>
      <c r="H50" s="343"/>
      <c r="I50" s="104"/>
    </row>
    <row r="51" spans="1:9" ht="15.75" x14ac:dyDescent="0.25">
      <c r="A51" s="104"/>
      <c r="B51" s="379" t="s">
        <v>56</v>
      </c>
      <c r="C51" s="379"/>
      <c r="D51" s="379"/>
      <c r="E51" s="31"/>
      <c r="F51" s="31"/>
      <c r="G51" s="84"/>
      <c r="H51" s="31"/>
      <c r="I51" s="104"/>
    </row>
  </sheetData>
  <mergeCells count="88">
    <mergeCell ref="C24:D24"/>
    <mergeCell ref="B50:D50"/>
    <mergeCell ref="F50:H50"/>
    <mergeCell ref="B51:D51"/>
    <mergeCell ref="A6:I6"/>
    <mergeCell ref="A7:I7"/>
    <mergeCell ref="A8:A9"/>
    <mergeCell ref="B8:E9"/>
    <mergeCell ref="F10:G10"/>
    <mergeCell ref="F11:G11"/>
    <mergeCell ref="F12:G12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42:G42"/>
    <mergeCell ref="F43:G43"/>
    <mergeCell ref="F44:G44"/>
    <mergeCell ref="F45:G45"/>
    <mergeCell ref="F36:G36"/>
    <mergeCell ref="F37:G37"/>
    <mergeCell ref="F38:G38"/>
    <mergeCell ref="F39:G39"/>
    <mergeCell ref="F40:G40"/>
    <mergeCell ref="F46:G46"/>
    <mergeCell ref="F47:G47"/>
    <mergeCell ref="F48:G48"/>
    <mergeCell ref="H10:I10"/>
    <mergeCell ref="H11:I11"/>
    <mergeCell ref="H12:I12"/>
    <mergeCell ref="H13:I13"/>
    <mergeCell ref="H14:I14"/>
    <mergeCell ref="H15:I15"/>
    <mergeCell ref="H16:I16"/>
    <mergeCell ref="H17:I17"/>
    <mergeCell ref="H18:I18"/>
    <mergeCell ref="H19:I19"/>
    <mergeCell ref="H20:I20"/>
    <mergeCell ref="H21:I21"/>
    <mergeCell ref="F41:G41"/>
    <mergeCell ref="H22:I22"/>
    <mergeCell ref="H23:I23"/>
    <mergeCell ref="H24:I24"/>
    <mergeCell ref="H25:I25"/>
    <mergeCell ref="H26:I26"/>
    <mergeCell ref="H34:I34"/>
    <mergeCell ref="H35:I35"/>
    <mergeCell ref="H36:I36"/>
    <mergeCell ref="H27:I27"/>
    <mergeCell ref="H28:I28"/>
    <mergeCell ref="H29:I29"/>
    <mergeCell ref="H30:I30"/>
    <mergeCell ref="H31:I31"/>
    <mergeCell ref="H47:I47"/>
    <mergeCell ref="H48:I48"/>
    <mergeCell ref="F8:G9"/>
    <mergeCell ref="H8:I9"/>
    <mergeCell ref="H42:I42"/>
    <mergeCell ref="H43:I43"/>
    <mergeCell ref="H44:I44"/>
    <mergeCell ref="H45:I45"/>
    <mergeCell ref="H46:I46"/>
    <mergeCell ref="H37:I37"/>
    <mergeCell ref="H38:I38"/>
    <mergeCell ref="H39:I39"/>
    <mergeCell ref="H40:I40"/>
    <mergeCell ref="H41:I41"/>
    <mergeCell ref="H32:I32"/>
    <mergeCell ref="H33:I33"/>
  </mergeCells>
  <pageMargins left="0.25" right="0.25" top="0.75" bottom="0.75" header="0.3" footer="0.3"/>
  <pageSetup paperSize="9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workbookViewId="0">
      <selection activeCell="C42" sqref="C42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20" t="s">
        <v>339</v>
      </c>
      <c r="B1" s="320"/>
      <c r="C1" s="320"/>
      <c r="D1" s="320"/>
      <c r="E1" s="320"/>
      <c r="F1" s="320"/>
      <c r="G1" s="320"/>
    </row>
    <row r="2" spans="1:7" x14ac:dyDescent="0.25">
      <c r="A2" s="319" t="s">
        <v>130</v>
      </c>
      <c r="B2" s="319"/>
      <c r="C2" s="319"/>
      <c r="D2" s="319"/>
      <c r="E2" s="319"/>
      <c r="F2" s="319"/>
      <c r="G2" s="3"/>
    </row>
    <row r="3" spans="1:7" x14ac:dyDescent="0.25">
      <c r="A3" s="87"/>
      <c r="B3" s="5" t="e">
        <f>#REF!</f>
        <v>#REF!</v>
      </c>
      <c r="C3" s="3" t="s">
        <v>131</v>
      </c>
      <c r="D3" s="3"/>
      <c r="E3" s="3"/>
      <c r="F3" s="3"/>
      <c r="G3" s="3"/>
    </row>
    <row r="4" spans="1:7" x14ac:dyDescent="0.25">
      <c r="A4" s="319" t="s">
        <v>132</v>
      </c>
      <c r="B4" s="319"/>
      <c r="C4" s="319"/>
      <c r="D4" s="319"/>
      <c r="E4" s="319"/>
      <c r="F4" s="319"/>
      <c r="G4" s="86"/>
    </row>
    <row r="5" spans="1:7" x14ac:dyDescent="0.25">
      <c r="A5" s="3"/>
      <c r="B5" s="3">
        <v>40</v>
      </c>
      <c r="C5" s="3" t="s">
        <v>131</v>
      </c>
      <c r="D5" s="3"/>
      <c r="E5" s="3"/>
      <c r="F5" s="3"/>
      <c r="G5" s="86"/>
    </row>
    <row r="6" spans="1:7" x14ac:dyDescent="0.25">
      <c r="A6" s="319" t="s">
        <v>340</v>
      </c>
      <c r="B6" s="319"/>
      <c r="C6" s="319"/>
      <c r="D6" s="319"/>
      <c r="E6" s="319"/>
      <c r="F6" s="319"/>
      <c r="G6" s="86"/>
    </row>
    <row r="7" spans="1:7" x14ac:dyDescent="0.25">
      <c r="A7" s="319" t="s">
        <v>134</v>
      </c>
      <c r="B7" s="319"/>
      <c r="C7" s="319"/>
      <c r="D7" s="319"/>
      <c r="E7" s="319"/>
      <c r="F7" s="319"/>
      <c r="G7" s="319"/>
    </row>
    <row r="8" spans="1:7" x14ac:dyDescent="0.25">
      <c r="A8" s="319" t="s">
        <v>210</v>
      </c>
      <c r="B8" s="319"/>
      <c r="C8" s="319"/>
      <c r="D8" s="319"/>
      <c r="E8" s="319"/>
      <c r="F8" s="319"/>
      <c r="G8" s="3"/>
    </row>
    <row r="9" spans="1:7" x14ac:dyDescent="0.25">
      <c r="A9" s="86"/>
      <c r="B9" s="86"/>
      <c r="C9" s="86"/>
      <c r="D9" s="3"/>
      <c r="E9" s="3" t="s">
        <v>131</v>
      </c>
      <c r="F9" s="3"/>
      <c r="G9" s="3"/>
    </row>
    <row r="10" spans="1:7" x14ac:dyDescent="0.25">
      <c r="A10" s="322" t="s">
        <v>136</v>
      </c>
      <c r="B10" s="322"/>
      <c r="C10" s="322"/>
      <c r="D10" s="5" t="e">
        <f>B3-B5-D9</f>
        <v>#REF!</v>
      </c>
      <c r="E10" s="3" t="s">
        <v>131</v>
      </c>
      <c r="F10" s="3"/>
      <c r="G10" s="86"/>
    </row>
    <row r="11" spans="1:7" x14ac:dyDescent="0.25">
      <c r="A11" s="86"/>
      <c r="B11" s="86"/>
      <c r="C11" s="86"/>
      <c r="D11" s="86"/>
      <c r="E11" s="86"/>
      <c r="F11" s="86"/>
      <c r="G11" s="86"/>
    </row>
    <row r="12" spans="1:7" x14ac:dyDescent="0.25">
      <c r="A12" s="319" t="s">
        <v>137</v>
      </c>
      <c r="B12" s="319"/>
      <c r="C12" s="319"/>
      <c r="D12" s="319"/>
      <c r="E12" s="319"/>
      <c r="F12" s="3">
        <v>28320</v>
      </c>
      <c r="G12" s="3" t="s">
        <v>98</v>
      </c>
    </row>
    <row r="13" spans="1:7" x14ac:dyDescent="0.25">
      <c r="A13" s="86"/>
      <c r="B13" s="86"/>
      <c r="C13" s="3"/>
      <c r="D13" s="3"/>
      <c r="E13" s="3"/>
      <c r="F13" s="87"/>
      <c r="G13" s="87"/>
    </row>
    <row r="14" spans="1:7" ht="15.75" thickBot="1" x14ac:dyDescent="0.3">
      <c r="A14" s="378" t="s">
        <v>138</v>
      </c>
      <c r="B14" s="376" t="s">
        <v>139</v>
      </c>
      <c r="C14" s="376"/>
      <c r="D14" s="376"/>
      <c r="E14" s="3"/>
      <c r="F14" s="87"/>
      <c r="G14" s="87"/>
    </row>
    <row r="15" spans="1:7" x14ac:dyDescent="0.25">
      <c r="A15" s="378"/>
      <c r="B15" s="377" t="s">
        <v>140</v>
      </c>
      <c r="C15" s="377"/>
      <c r="D15" s="377"/>
      <c r="E15" s="3"/>
      <c r="F15" s="87"/>
      <c r="G15" s="87"/>
    </row>
    <row r="16" spans="1:7" x14ac:dyDescent="0.25">
      <c r="A16" s="90"/>
      <c r="B16" s="91"/>
      <c r="C16" s="91"/>
      <c r="D16" s="91"/>
      <c r="E16" s="3"/>
      <c r="F16" s="87"/>
      <c r="G16" s="87"/>
    </row>
    <row r="17" spans="1:7" ht="15.75" thickBot="1" x14ac:dyDescent="0.3">
      <c r="A17" s="375" t="s">
        <v>141</v>
      </c>
      <c r="B17" s="375"/>
      <c r="C17" s="376" t="s">
        <v>142</v>
      </c>
      <c r="D17" s="376"/>
      <c r="E17" s="376"/>
      <c r="F17" s="87"/>
      <c r="G17" s="87"/>
    </row>
    <row r="18" spans="1:7" x14ac:dyDescent="0.25">
      <c r="A18" s="375"/>
      <c r="B18" s="375"/>
      <c r="C18" s="377" t="s">
        <v>140</v>
      </c>
      <c r="D18" s="377"/>
      <c r="E18" s="377"/>
      <c r="F18" s="87"/>
      <c r="G18" s="87"/>
    </row>
    <row r="19" spans="1:7" x14ac:dyDescent="0.25">
      <c r="A19" s="9"/>
      <c r="B19" s="9"/>
      <c r="C19" s="92"/>
      <c r="D19" s="92"/>
      <c r="E19" s="92"/>
      <c r="F19" s="87"/>
      <c r="G19" s="87"/>
    </row>
    <row r="20" spans="1:7" x14ac:dyDescent="0.25">
      <c r="A20" s="9"/>
      <c r="B20" s="9"/>
      <c r="C20" s="92"/>
      <c r="D20" s="92"/>
      <c r="E20" s="323" t="s">
        <v>12</v>
      </c>
      <c r="F20" s="323"/>
      <c r="G20" s="87"/>
    </row>
    <row r="21" spans="1:7" x14ac:dyDescent="0.25">
      <c r="A21" s="324" t="s">
        <v>143</v>
      </c>
      <c r="B21" s="324"/>
      <c r="C21" s="324"/>
      <c r="D21" s="324"/>
      <c r="E21" s="324"/>
      <c r="F21" s="324"/>
      <c r="G21" s="87"/>
    </row>
    <row r="22" spans="1:7" x14ac:dyDescent="0.25">
      <c r="A22" s="380" t="s">
        <v>144</v>
      </c>
      <c r="B22" s="382" t="s">
        <v>15</v>
      </c>
      <c r="C22" s="383"/>
      <c r="D22" s="383"/>
      <c r="E22" s="384" t="s">
        <v>145</v>
      </c>
      <c r="F22" s="384"/>
      <c r="G22" s="93"/>
    </row>
    <row r="23" spans="1:7" ht="45" x14ac:dyDescent="0.25">
      <c r="A23" s="381"/>
      <c r="B23" s="94" t="s">
        <v>146</v>
      </c>
      <c r="C23" s="94" t="s">
        <v>147</v>
      </c>
      <c r="D23" s="95" t="s">
        <v>148</v>
      </c>
      <c r="E23" s="94" t="s">
        <v>149</v>
      </c>
      <c r="F23" s="94" t="s">
        <v>150</v>
      </c>
      <c r="G23" s="96"/>
    </row>
    <row r="24" spans="1:7" x14ac:dyDescent="0.25">
      <c r="A24" s="97" t="s">
        <v>49</v>
      </c>
      <c r="B24" s="98">
        <v>0</v>
      </c>
      <c r="C24" s="99">
        <f>F12</f>
        <v>28320</v>
      </c>
      <c r="D24" s="100" t="e">
        <f>D10</f>
        <v>#REF!</v>
      </c>
      <c r="E24" s="99" t="e">
        <f>B24/D24</f>
        <v>#REF!</v>
      </c>
      <c r="F24" s="98" t="e">
        <f>C24/D24</f>
        <v>#REF!</v>
      </c>
      <c r="G24" s="12"/>
    </row>
    <row r="25" spans="1:7" x14ac:dyDescent="0.25">
      <c r="A25" s="87"/>
      <c r="B25" s="87"/>
      <c r="C25" s="87"/>
      <c r="D25" s="87"/>
      <c r="E25" s="87"/>
      <c r="F25" s="87"/>
      <c r="G25" s="87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ht="15.75" x14ac:dyDescent="0.25">
      <c r="A29" s="385" t="s">
        <v>55</v>
      </c>
      <c r="B29" s="385"/>
      <c r="C29" s="385"/>
      <c r="D29" s="31"/>
      <c r="E29" s="343" t="s">
        <v>57</v>
      </c>
      <c r="F29" s="343"/>
      <c r="G29" s="343"/>
    </row>
    <row r="30" spans="1:7" ht="15.75" x14ac:dyDescent="0.25">
      <c r="A30" s="379" t="s">
        <v>56</v>
      </c>
      <c r="B30" s="379"/>
      <c r="C30" s="379"/>
      <c r="D30" s="31"/>
      <c r="E30" s="31"/>
      <c r="F30" s="84"/>
      <c r="G30" s="31"/>
    </row>
    <row r="31" spans="1:7" x14ac:dyDescent="0.25">
      <c r="A31" s="87"/>
      <c r="B31" s="87"/>
      <c r="C31" s="87"/>
      <c r="D31" s="87"/>
      <c r="E31" s="87"/>
      <c r="F31" s="87"/>
      <c r="G31" s="87"/>
    </row>
  </sheetData>
  <mergeCells count="22">
    <mergeCell ref="A30:C30"/>
    <mergeCell ref="E20:F20"/>
    <mergeCell ref="A21:F21"/>
    <mergeCell ref="A22:A23"/>
    <mergeCell ref="B22:D22"/>
    <mergeCell ref="E22:F22"/>
    <mergeCell ref="A29:C29"/>
    <mergeCell ref="E29:G29"/>
    <mergeCell ref="A17:B18"/>
    <mergeCell ref="C17:E17"/>
    <mergeCell ref="C18:E18"/>
    <mergeCell ref="A1:G1"/>
    <mergeCell ref="A2:F2"/>
    <mergeCell ref="A4:F4"/>
    <mergeCell ref="A6:F6"/>
    <mergeCell ref="A7:G7"/>
    <mergeCell ref="A8:F8"/>
    <mergeCell ref="A10:C10"/>
    <mergeCell ref="A12:E12"/>
    <mergeCell ref="A14:A15"/>
    <mergeCell ref="B14:D14"/>
    <mergeCell ref="B15:D15"/>
  </mergeCells>
  <pageMargins left="0.7" right="0.7" top="0.75" bottom="0.75" header="0.3" footer="0.3"/>
  <pageSetup paperSize="9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7"/>
  <sheetViews>
    <sheetView topLeftCell="A4" workbookViewId="0">
      <selection activeCell="L22" sqref="L22"/>
    </sheetView>
  </sheetViews>
  <sheetFormatPr defaultRowHeight="15" x14ac:dyDescent="0.25"/>
  <cols>
    <col min="1" max="1" width="5.42578125" customWidth="1"/>
    <col min="2" max="2" width="29.42578125" customWidth="1"/>
    <col min="3" max="3" width="7.28515625" customWidth="1"/>
    <col min="4" max="4" width="14.28515625" customWidth="1"/>
    <col min="5" max="5" width="8" customWidth="1"/>
    <col min="6" max="6" width="17" customWidth="1"/>
    <col min="7" max="7" width="7.85546875" customWidth="1"/>
  </cols>
  <sheetData>
    <row r="1" spans="1:7" ht="15.75" x14ac:dyDescent="0.25">
      <c r="A1" s="31"/>
      <c r="B1" s="31"/>
      <c r="C1" s="290"/>
      <c r="D1" s="290"/>
      <c r="E1" s="63"/>
      <c r="F1" s="63"/>
      <c r="G1" s="64" t="s">
        <v>59</v>
      </c>
    </row>
    <row r="2" spans="1:7" ht="15.75" x14ac:dyDescent="0.25">
      <c r="A2" s="31"/>
      <c r="B2" s="31"/>
      <c r="C2" s="290"/>
      <c r="D2" s="290"/>
      <c r="E2" s="63"/>
      <c r="F2" s="63"/>
      <c r="G2" s="64" t="s">
        <v>60</v>
      </c>
    </row>
    <row r="3" spans="1:7" ht="15.75" x14ac:dyDescent="0.25">
      <c r="A3" s="31"/>
      <c r="B3" s="31"/>
      <c r="C3" s="290"/>
      <c r="D3" s="290"/>
      <c r="E3" s="63"/>
      <c r="F3" s="63"/>
      <c r="G3" s="64" t="s">
        <v>388</v>
      </c>
    </row>
    <row r="4" spans="1:7" ht="15.75" x14ac:dyDescent="0.25">
      <c r="A4" s="31"/>
      <c r="B4" s="31"/>
      <c r="C4" s="290"/>
      <c r="D4" s="290"/>
      <c r="E4" s="63"/>
      <c r="F4" s="63"/>
      <c r="G4" s="64" t="s">
        <v>389</v>
      </c>
    </row>
    <row r="5" spans="1:7" ht="15.75" x14ac:dyDescent="0.25">
      <c r="A5" s="31"/>
      <c r="B5" s="31"/>
      <c r="C5" s="290"/>
      <c r="D5" s="290"/>
      <c r="E5" s="31"/>
      <c r="F5" s="42"/>
      <c r="G5" s="31"/>
    </row>
    <row r="6" spans="1:7" ht="15.75" x14ac:dyDescent="0.25">
      <c r="A6" s="396" t="s">
        <v>93</v>
      </c>
      <c r="B6" s="396"/>
      <c r="C6" s="396"/>
      <c r="D6" s="396"/>
      <c r="E6" s="396"/>
      <c r="F6" s="396"/>
      <c r="G6" s="396"/>
    </row>
    <row r="7" spans="1:7" ht="15.75" x14ac:dyDescent="0.25">
      <c r="A7" s="396" t="s">
        <v>341</v>
      </c>
      <c r="B7" s="396"/>
      <c r="C7" s="396"/>
      <c r="D7" s="396"/>
      <c r="E7" s="396"/>
      <c r="F7" s="396"/>
      <c r="G7" s="396"/>
    </row>
    <row r="8" spans="1:7" x14ac:dyDescent="0.25">
      <c r="A8" s="353" t="s">
        <v>13</v>
      </c>
      <c r="B8" s="390" t="s">
        <v>95</v>
      </c>
      <c r="C8" s="391"/>
      <c r="D8" s="391"/>
      <c r="E8" s="392"/>
      <c r="F8" s="357" t="s">
        <v>96</v>
      </c>
      <c r="G8" s="357"/>
    </row>
    <row r="9" spans="1:7" x14ac:dyDescent="0.25">
      <c r="A9" s="354"/>
      <c r="B9" s="393"/>
      <c r="C9" s="394"/>
      <c r="D9" s="394"/>
      <c r="E9" s="395"/>
      <c r="F9" s="65" t="s">
        <v>97</v>
      </c>
      <c r="G9" s="88" t="s">
        <v>62</v>
      </c>
    </row>
    <row r="10" spans="1:7" ht="15.75" x14ac:dyDescent="0.25">
      <c r="A10" s="117">
        <v>1</v>
      </c>
      <c r="B10" s="118" t="s">
        <v>106</v>
      </c>
      <c r="C10" s="425" t="s">
        <v>107</v>
      </c>
      <c r="D10" s="525"/>
      <c r="E10" s="426"/>
      <c r="F10" s="121">
        <v>0</v>
      </c>
      <c r="G10" s="117" t="s">
        <v>98</v>
      </c>
    </row>
    <row r="11" spans="1:7" ht="15.75" x14ac:dyDescent="0.25">
      <c r="A11" s="113"/>
      <c r="B11" s="109"/>
      <c r="C11" s="115"/>
      <c r="D11" s="109"/>
      <c r="E11" s="138"/>
      <c r="F11" s="112"/>
      <c r="G11" s="113"/>
    </row>
    <row r="12" spans="1:7" ht="15.75" x14ac:dyDescent="0.25">
      <c r="A12" s="117">
        <v>2</v>
      </c>
      <c r="B12" s="118" t="s">
        <v>108</v>
      </c>
      <c r="C12" s="153"/>
      <c r="D12" s="118"/>
      <c r="E12" s="139"/>
      <c r="F12" s="121">
        <f>'Пробег САГ'!F22</f>
        <v>46.85</v>
      </c>
      <c r="G12" s="117" t="s">
        <v>98</v>
      </c>
    </row>
    <row r="13" spans="1:7" ht="15.75" x14ac:dyDescent="0.25">
      <c r="A13" s="113"/>
      <c r="B13" s="109"/>
      <c r="C13" s="115"/>
      <c r="D13" s="109"/>
      <c r="E13" s="138"/>
      <c r="F13" s="112"/>
      <c r="G13" s="113"/>
    </row>
    <row r="14" spans="1:7" ht="15.75" x14ac:dyDescent="0.25">
      <c r="A14" s="117">
        <v>3</v>
      </c>
      <c r="B14" s="118" t="s">
        <v>173</v>
      </c>
      <c r="C14" s="153"/>
      <c r="D14" s="118"/>
      <c r="E14" s="121"/>
      <c r="F14" s="124">
        <v>2.5</v>
      </c>
      <c r="G14" s="113" t="s">
        <v>111</v>
      </c>
    </row>
    <row r="15" spans="1:7" ht="15.75" x14ac:dyDescent="0.25">
      <c r="A15" s="113"/>
      <c r="B15" s="109"/>
      <c r="C15" s="140" t="s">
        <v>342</v>
      </c>
      <c r="D15" s="109"/>
      <c r="E15" s="108">
        <v>36.67</v>
      </c>
      <c r="F15" s="126">
        <f>F14*E15</f>
        <v>91.675000000000011</v>
      </c>
      <c r="G15" s="117" t="s">
        <v>98</v>
      </c>
    </row>
    <row r="16" spans="1:7" ht="15.75" x14ac:dyDescent="0.25">
      <c r="A16" s="113"/>
      <c r="B16" s="109"/>
      <c r="C16" s="115"/>
      <c r="D16" s="109"/>
      <c r="E16" s="112"/>
      <c r="F16" s="112"/>
      <c r="G16" s="113"/>
    </row>
    <row r="17" spans="1:7" ht="15.75" x14ac:dyDescent="0.25">
      <c r="A17" s="117">
        <v>4</v>
      </c>
      <c r="B17" s="118" t="s">
        <v>112</v>
      </c>
      <c r="C17" s="153"/>
      <c r="D17" s="118"/>
      <c r="E17" s="155"/>
      <c r="F17" s="121"/>
      <c r="G17" s="117"/>
    </row>
    <row r="18" spans="1:7" ht="15.75" x14ac:dyDescent="0.25">
      <c r="A18" s="113"/>
      <c r="B18" s="109" t="s">
        <v>113</v>
      </c>
      <c r="C18" s="250">
        <v>3.2000000000000001E-2</v>
      </c>
      <c r="D18" s="157" t="s">
        <v>116</v>
      </c>
      <c r="E18" s="112">
        <v>186.99</v>
      </c>
      <c r="F18" s="112">
        <f>C18*$F$14*E18</f>
        <v>14.959200000000001</v>
      </c>
      <c r="G18" s="113" t="s">
        <v>98</v>
      </c>
    </row>
    <row r="19" spans="1:7" ht="15.75" x14ac:dyDescent="0.25">
      <c r="A19" s="113"/>
      <c r="B19" s="109" t="s">
        <v>115</v>
      </c>
      <c r="C19" s="250">
        <v>4.0000000000000001E-3</v>
      </c>
      <c r="D19" s="159" t="s">
        <v>116</v>
      </c>
      <c r="E19" s="112">
        <v>107.82</v>
      </c>
      <c r="F19" s="112">
        <f>C19*$F$14*E19</f>
        <v>1.0782</v>
      </c>
      <c r="G19" s="113" t="s">
        <v>98</v>
      </c>
    </row>
    <row r="20" spans="1:7" ht="15.75" x14ac:dyDescent="0.25">
      <c r="A20" s="113"/>
      <c r="B20" s="109" t="s">
        <v>117</v>
      </c>
      <c r="C20" s="250">
        <v>1E-3</v>
      </c>
      <c r="D20" s="159" t="s">
        <v>116</v>
      </c>
      <c r="E20" s="112">
        <v>75.260000000000005</v>
      </c>
      <c r="F20" s="112">
        <f>C20*$F$14*E20</f>
        <v>0.18815000000000001</v>
      </c>
      <c r="G20" s="113" t="s">
        <v>98</v>
      </c>
    </row>
    <row r="21" spans="1:7" ht="15.75" x14ac:dyDescent="0.25">
      <c r="A21" s="113"/>
      <c r="B21" s="109" t="s">
        <v>118</v>
      </c>
      <c r="C21" s="251">
        <v>3.0000000000000001E-3</v>
      </c>
      <c r="D21" s="161" t="s">
        <v>116</v>
      </c>
      <c r="E21" s="112">
        <v>132.04</v>
      </c>
      <c r="F21" s="112">
        <f>C21*$F$14*E21</f>
        <v>0.99029999999999996</v>
      </c>
      <c r="G21" s="113" t="s">
        <v>98</v>
      </c>
    </row>
    <row r="22" spans="1:7" ht="15.75" x14ac:dyDescent="0.25">
      <c r="A22" s="113"/>
      <c r="B22" s="109" t="s">
        <v>119</v>
      </c>
      <c r="C22" s="153"/>
      <c r="D22" s="162"/>
      <c r="E22" s="121"/>
      <c r="F22" s="121">
        <f>SUM(F18:F21)</f>
        <v>17.215850000000003</v>
      </c>
      <c r="G22" s="117" t="s">
        <v>98</v>
      </c>
    </row>
    <row r="23" spans="1:7" ht="15.75" x14ac:dyDescent="0.25">
      <c r="A23" s="113"/>
      <c r="B23" s="109"/>
      <c r="C23" s="115"/>
      <c r="D23" s="109"/>
      <c r="E23" s="138"/>
      <c r="F23" s="112"/>
      <c r="G23" s="113"/>
    </row>
    <row r="24" spans="1:7" ht="15.75" x14ac:dyDescent="0.25">
      <c r="A24" s="113"/>
      <c r="B24" s="109"/>
      <c r="C24" s="115"/>
      <c r="D24" s="109"/>
      <c r="E24" s="138"/>
      <c r="F24" s="112"/>
      <c r="G24" s="113"/>
    </row>
    <row r="25" spans="1:7" ht="15.75" x14ac:dyDescent="0.25">
      <c r="A25" s="117">
        <v>5</v>
      </c>
      <c r="B25" s="118" t="s">
        <v>121</v>
      </c>
      <c r="C25" s="153"/>
      <c r="D25" s="118"/>
      <c r="E25" s="139"/>
      <c r="F25" s="121">
        <f>F10+F12+F15+F22</f>
        <v>155.74085000000002</v>
      </c>
      <c r="G25" s="117" t="s">
        <v>98</v>
      </c>
    </row>
    <row r="26" spans="1:7" ht="15.75" x14ac:dyDescent="0.25">
      <c r="A26" s="117"/>
      <c r="B26" s="118"/>
      <c r="C26" s="153"/>
      <c r="D26" s="118"/>
      <c r="E26" s="139"/>
      <c r="F26" s="121"/>
      <c r="G26" s="117"/>
    </row>
    <row r="27" spans="1:7" ht="15.75" x14ac:dyDescent="0.25">
      <c r="A27" s="117">
        <v>6</v>
      </c>
      <c r="B27" s="118" t="s">
        <v>122</v>
      </c>
      <c r="C27" s="153"/>
      <c r="D27" s="118"/>
      <c r="E27" s="139"/>
      <c r="F27" s="121"/>
      <c r="G27" s="117"/>
    </row>
    <row r="28" spans="1:7" ht="15.75" x14ac:dyDescent="0.25">
      <c r="A28" s="113"/>
      <c r="B28" s="109" t="s">
        <v>123</v>
      </c>
      <c r="C28" s="115"/>
      <c r="D28" s="109"/>
      <c r="E28" s="138">
        <v>0.1</v>
      </c>
      <c r="F28" s="112">
        <f>F25*E28</f>
        <v>15.574085000000004</v>
      </c>
      <c r="G28" s="113" t="s">
        <v>98</v>
      </c>
    </row>
    <row r="29" spans="1:7" ht="15.75" x14ac:dyDescent="0.25">
      <c r="A29" s="113"/>
      <c r="B29" s="109" t="s">
        <v>124</v>
      </c>
      <c r="C29" s="115"/>
      <c r="D29" s="109"/>
      <c r="E29" s="138">
        <v>0.15</v>
      </c>
      <c r="F29" s="112">
        <f>F25*E29</f>
        <v>23.361127500000002</v>
      </c>
      <c r="G29" s="113" t="s">
        <v>98</v>
      </c>
    </row>
    <row r="30" spans="1:7" ht="15.75" x14ac:dyDescent="0.25">
      <c r="A30" s="113"/>
      <c r="B30" s="109"/>
      <c r="C30" s="115"/>
      <c r="D30" s="109"/>
      <c r="E30" s="138"/>
      <c r="F30" s="112"/>
      <c r="G30" s="113"/>
    </row>
    <row r="31" spans="1:7" ht="15.75" x14ac:dyDescent="0.25">
      <c r="A31" s="117">
        <v>7</v>
      </c>
      <c r="B31" s="118" t="s">
        <v>125</v>
      </c>
      <c r="C31" s="153"/>
      <c r="D31" s="118"/>
      <c r="E31" s="139"/>
      <c r="F31" s="121"/>
      <c r="G31" s="117"/>
    </row>
    <row r="32" spans="1:7" ht="15.75" x14ac:dyDescent="0.25">
      <c r="A32" s="113"/>
      <c r="B32" s="109" t="s">
        <v>123</v>
      </c>
      <c r="C32" s="115"/>
      <c r="D32" s="109"/>
      <c r="E32" s="138"/>
      <c r="F32" s="121">
        <f>F25+F28</f>
        <v>171.31493500000002</v>
      </c>
      <c r="G32" s="117" t="s">
        <v>98</v>
      </c>
    </row>
    <row r="33" spans="1:7" ht="15.75" x14ac:dyDescent="0.25">
      <c r="A33" s="113"/>
      <c r="B33" s="109" t="s">
        <v>124</v>
      </c>
      <c r="C33" s="115"/>
      <c r="D33" s="109"/>
      <c r="E33" s="138"/>
      <c r="F33" s="121">
        <f>F25+F29</f>
        <v>179.10197750000003</v>
      </c>
      <c r="G33" s="117" t="s">
        <v>98</v>
      </c>
    </row>
    <row r="34" spans="1:7" ht="15.75" x14ac:dyDescent="0.25">
      <c r="A34" s="104"/>
      <c r="B34" s="104"/>
      <c r="C34" s="152"/>
      <c r="D34" s="104"/>
      <c r="E34" s="104"/>
      <c r="F34" s="108"/>
      <c r="G34" s="163"/>
    </row>
    <row r="35" spans="1:7" ht="15.75" x14ac:dyDescent="0.25">
      <c r="A35" s="104"/>
      <c r="B35" s="104"/>
      <c r="C35" s="152"/>
      <c r="D35" s="104"/>
      <c r="E35" s="104"/>
      <c r="F35" s="108"/>
      <c r="G35" s="104"/>
    </row>
    <row r="36" spans="1:7" ht="15.75" x14ac:dyDescent="0.25">
      <c r="A36" s="31"/>
      <c r="B36" s="83" t="s">
        <v>55</v>
      </c>
      <c r="C36" s="83"/>
      <c r="D36" s="83"/>
      <c r="E36" s="31"/>
      <c r="F36" s="62" t="s">
        <v>57</v>
      </c>
      <c r="G36" s="31"/>
    </row>
    <row r="37" spans="1:7" ht="15.75" x14ac:dyDescent="0.25">
      <c r="A37" s="31"/>
      <c r="B37" s="84" t="s">
        <v>56</v>
      </c>
      <c r="C37" s="83"/>
      <c r="D37" s="83"/>
      <c r="E37" s="31"/>
      <c r="F37" s="42"/>
      <c r="G37" s="31"/>
    </row>
  </sheetData>
  <mergeCells count="6">
    <mergeCell ref="C10:E10"/>
    <mergeCell ref="A6:G6"/>
    <mergeCell ref="A7:G7"/>
    <mergeCell ref="A8:A9"/>
    <mergeCell ref="B8:E9"/>
    <mergeCell ref="F8:G8"/>
  </mergeCells>
  <pageMargins left="0.25" right="0.25" top="0.75" bottom="0.75" header="0.3" footer="0.3"/>
  <pageSetup paperSize="9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0"/>
  <sheetViews>
    <sheetView workbookViewId="0">
      <selection activeCell="I31" sqref="I31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20" t="s">
        <v>343</v>
      </c>
      <c r="B1" s="320"/>
      <c r="C1" s="320"/>
      <c r="D1" s="320"/>
      <c r="E1" s="320"/>
      <c r="F1" s="320"/>
      <c r="G1" s="320"/>
    </row>
    <row r="2" spans="1:7" x14ac:dyDescent="0.25">
      <c r="A2" s="319" t="s">
        <v>130</v>
      </c>
      <c r="B2" s="319"/>
      <c r="C2" s="319"/>
      <c r="D2" s="319"/>
      <c r="E2" s="319"/>
      <c r="F2" s="319"/>
      <c r="G2" s="3"/>
    </row>
    <row r="3" spans="1:7" x14ac:dyDescent="0.25">
      <c r="A3" s="87"/>
      <c r="B3" s="5">
        <v>400</v>
      </c>
      <c r="C3" s="3" t="s">
        <v>131</v>
      </c>
      <c r="D3" s="3"/>
      <c r="E3" s="3"/>
      <c r="F3" s="3"/>
      <c r="G3" s="3"/>
    </row>
    <row r="4" spans="1:7" x14ac:dyDescent="0.25">
      <c r="A4" s="319" t="s">
        <v>344</v>
      </c>
      <c r="B4" s="319"/>
      <c r="C4" s="319"/>
      <c r="D4" s="319"/>
      <c r="E4" s="319"/>
      <c r="F4" s="319"/>
      <c r="G4" s="86"/>
    </row>
    <row r="5" spans="1:7" x14ac:dyDescent="0.25">
      <c r="A5" s="319" t="s">
        <v>345</v>
      </c>
      <c r="B5" s="319"/>
      <c r="C5" s="319"/>
      <c r="D5" s="319"/>
      <c r="E5" s="319"/>
      <c r="F5" s="319"/>
      <c r="G5" s="319"/>
    </row>
    <row r="6" spans="1:7" x14ac:dyDescent="0.25">
      <c r="A6" s="3" t="s">
        <v>346</v>
      </c>
      <c r="B6" s="3">
        <v>0</v>
      </c>
      <c r="C6" s="3" t="s">
        <v>131</v>
      </c>
      <c r="D6" s="87"/>
      <c r="E6" s="87"/>
      <c r="F6" s="3"/>
      <c r="G6" s="3"/>
    </row>
    <row r="7" spans="1:7" x14ac:dyDescent="0.25">
      <c r="A7" s="86"/>
      <c r="B7" s="86"/>
      <c r="C7" s="86"/>
      <c r="D7" s="3"/>
      <c r="E7" s="3"/>
      <c r="F7" s="3"/>
      <c r="G7" s="3"/>
    </row>
    <row r="8" spans="1:7" x14ac:dyDescent="0.25">
      <c r="A8" s="322" t="s">
        <v>347</v>
      </c>
      <c r="B8" s="322"/>
      <c r="C8" s="5">
        <f>B3-B6</f>
        <v>400</v>
      </c>
      <c r="D8" s="3" t="s">
        <v>131</v>
      </c>
      <c r="E8" s="87"/>
      <c r="F8" s="3"/>
      <c r="G8" s="86"/>
    </row>
    <row r="9" spans="1:7" x14ac:dyDescent="0.25">
      <c r="A9" s="86"/>
      <c r="B9" s="86"/>
      <c r="C9" s="86"/>
      <c r="D9" s="86"/>
      <c r="E9" s="86"/>
      <c r="F9" s="86"/>
      <c r="G9" s="86"/>
    </row>
    <row r="10" spans="1:7" x14ac:dyDescent="0.25">
      <c r="A10" s="319" t="s">
        <v>348</v>
      </c>
      <c r="B10" s="319"/>
      <c r="C10" s="319"/>
      <c r="D10" s="319"/>
      <c r="E10" s="319"/>
      <c r="F10" s="298">
        <f>'[1]Сварочный агрегат'!$F$23</f>
        <v>18740</v>
      </c>
      <c r="G10" s="3" t="s">
        <v>98</v>
      </c>
    </row>
    <row r="11" spans="1:7" x14ac:dyDescent="0.25">
      <c r="A11" s="86"/>
      <c r="B11" s="86"/>
      <c r="C11" s="3"/>
      <c r="D11" s="3"/>
      <c r="E11" s="3"/>
      <c r="F11" s="87"/>
      <c r="G11" s="87"/>
    </row>
    <row r="12" spans="1:7" ht="15.75" thickBot="1" x14ac:dyDescent="0.3">
      <c r="A12" s="378" t="s">
        <v>138</v>
      </c>
      <c r="B12" s="376" t="s">
        <v>139</v>
      </c>
      <c r="C12" s="376"/>
      <c r="D12" s="376"/>
      <c r="E12" s="3"/>
      <c r="F12" s="87"/>
      <c r="G12" s="87"/>
    </row>
    <row r="13" spans="1:7" x14ac:dyDescent="0.25">
      <c r="A13" s="378"/>
      <c r="B13" s="377" t="s">
        <v>140</v>
      </c>
      <c r="C13" s="377"/>
      <c r="D13" s="377"/>
      <c r="E13" s="3"/>
      <c r="F13" s="87"/>
      <c r="G13" s="87"/>
    </row>
    <row r="14" spans="1:7" x14ac:dyDescent="0.25">
      <c r="A14" s="90"/>
      <c r="B14" s="91"/>
      <c r="C14" s="91"/>
      <c r="D14" s="91"/>
      <c r="E14" s="3"/>
      <c r="F14" s="87"/>
      <c r="G14" s="87"/>
    </row>
    <row r="15" spans="1:7" ht="15.75" thickBot="1" x14ac:dyDescent="0.3">
      <c r="A15" s="375" t="s">
        <v>141</v>
      </c>
      <c r="B15" s="375"/>
      <c r="C15" s="376" t="s">
        <v>142</v>
      </c>
      <c r="D15" s="376"/>
      <c r="E15" s="376"/>
      <c r="F15" s="87"/>
      <c r="G15" s="87"/>
    </row>
    <row r="16" spans="1:7" x14ac:dyDescent="0.25">
      <c r="A16" s="375"/>
      <c r="B16" s="375"/>
      <c r="C16" s="377" t="s">
        <v>140</v>
      </c>
      <c r="D16" s="377"/>
      <c r="E16" s="377"/>
      <c r="F16" s="87"/>
      <c r="G16" s="87"/>
    </row>
    <row r="17" spans="1:7" x14ac:dyDescent="0.25">
      <c r="A17" s="9"/>
      <c r="B17" s="9"/>
      <c r="C17" s="92"/>
      <c r="D17" s="92"/>
      <c r="E17" s="92"/>
      <c r="F17" s="87"/>
      <c r="G17" s="87"/>
    </row>
    <row r="18" spans="1:7" x14ac:dyDescent="0.25">
      <c r="A18" s="9"/>
      <c r="B18" s="9"/>
      <c r="C18" s="92"/>
      <c r="D18" s="92"/>
      <c r="E18" s="323" t="s">
        <v>12</v>
      </c>
      <c r="F18" s="323"/>
      <c r="G18" s="87"/>
    </row>
    <row r="19" spans="1:7" x14ac:dyDescent="0.25">
      <c r="A19" s="324" t="s">
        <v>143</v>
      </c>
      <c r="B19" s="324"/>
      <c r="C19" s="324"/>
      <c r="D19" s="324"/>
      <c r="E19" s="324"/>
      <c r="F19" s="324"/>
      <c r="G19" s="87"/>
    </row>
    <row r="20" spans="1:7" x14ac:dyDescent="0.25">
      <c r="A20" s="380" t="s">
        <v>144</v>
      </c>
      <c r="B20" s="382" t="s">
        <v>15</v>
      </c>
      <c r="C20" s="383"/>
      <c r="D20" s="383"/>
      <c r="E20" s="384" t="s">
        <v>145</v>
      </c>
      <c r="F20" s="384"/>
      <c r="G20" s="93"/>
    </row>
    <row r="21" spans="1:7" ht="45" x14ac:dyDescent="0.25">
      <c r="A21" s="381"/>
      <c r="B21" s="94" t="s">
        <v>146</v>
      </c>
      <c r="C21" s="94" t="s">
        <v>147</v>
      </c>
      <c r="D21" s="95" t="s">
        <v>148</v>
      </c>
      <c r="E21" s="94" t="s">
        <v>149</v>
      </c>
      <c r="F21" s="94" t="s">
        <v>150</v>
      </c>
      <c r="G21" s="96"/>
    </row>
    <row r="22" spans="1:7" x14ac:dyDescent="0.25">
      <c r="A22" s="97" t="s">
        <v>92</v>
      </c>
      <c r="B22" s="98">
        <v>0</v>
      </c>
      <c r="C22" s="99">
        <f>F10</f>
        <v>18740</v>
      </c>
      <c r="D22" s="100">
        <f>C8</f>
        <v>400</v>
      </c>
      <c r="E22" s="99">
        <f>B22/D22</f>
        <v>0</v>
      </c>
      <c r="F22" s="98">
        <f>C22/D22</f>
        <v>46.85</v>
      </c>
      <c r="G22" s="12"/>
    </row>
    <row r="23" spans="1:7" x14ac:dyDescent="0.25">
      <c r="A23" s="87"/>
      <c r="B23" s="87"/>
      <c r="C23" s="87"/>
      <c r="D23" s="87"/>
      <c r="E23" s="87"/>
      <c r="F23" s="87"/>
      <c r="G23" s="87"/>
    </row>
    <row r="24" spans="1:7" x14ac:dyDescent="0.25">
      <c r="A24" s="87"/>
      <c r="B24" s="87"/>
      <c r="C24" s="87"/>
      <c r="D24" s="87"/>
      <c r="E24" s="87"/>
      <c r="F24" s="87"/>
      <c r="G24" s="87"/>
    </row>
    <row r="25" spans="1:7" x14ac:dyDescent="0.25">
      <c r="A25" s="87"/>
      <c r="B25" s="87"/>
      <c r="C25" s="87"/>
      <c r="D25" s="87"/>
      <c r="E25" s="87"/>
      <c r="F25" s="87"/>
      <c r="G25" s="87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ht="15.75" x14ac:dyDescent="0.25">
      <c r="A27" s="385" t="s">
        <v>55</v>
      </c>
      <c r="B27" s="385"/>
      <c r="C27" s="385"/>
      <c r="D27" s="31"/>
      <c r="E27" s="343" t="s">
        <v>57</v>
      </c>
      <c r="F27" s="343"/>
      <c r="G27" s="343"/>
    </row>
    <row r="28" spans="1:7" ht="15.75" x14ac:dyDescent="0.25">
      <c r="A28" s="379" t="s">
        <v>56</v>
      </c>
      <c r="B28" s="379"/>
      <c r="C28" s="379"/>
      <c r="D28" s="31"/>
      <c r="E28" s="31"/>
      <c r="F28" s="84"/>
      <c r="G28" s="31"/>
    </row>
    <row r="29" spans="1:7" x14ac:dyDescent="0.25">
      <c r="A29" s="87"/>
      <c r="B29" s="87"/>
      <c r="C29" s="87"/>
      <c r="D29" s="87"/>
      <c r="E29" s="87"/>
      <c r="F29" s="87"/>
      <c r="G29" s="87"/>
    </row>
    <row r="30" spans="1:7" x14ac:dyDescent="0.25">
      <c r="A30" s="87"/>
      <c r="B30" s="87"/>
      <c r="C30" s="87"/>
      <c r="D30" s="87"/>
      <c r="E30" s="87"/>
      <c r="F30" s="87"/>
      <c r="G30" s="87"/>
    </row>
  </sheetData>
  <mergeCells count="20">
    <mergeCell ref="A28:C28"/>
    <mergeCell ref="E18:F18"/>
    <mergeCell ref="A19:F19"/>
    <mergeCell ref="A20:A21"/>
    <mergeCell ref="B20:D20"/>
    <mergeCell ref="E20:F20"/>
    <mergeCell ref="A27:C27"/>
    <mergeCell ref="E27:G27"/>
    <mergeCell ref="A12:A13"/>
    <mergeCell ref="B12:D12"/>
    <mergeCell ref="B13:D13"/>
    <mergeCell ref="A15:B16"/>
    <mergeCell ref="C15:E15"/>
    <mergeCell ref="C16:E16"/>
    <mergeCell ref="A10:E10"/>
    <mergeCell ref="A1:G1"/>
    <mergeCell ref="A2:F2"/>
    <mergeCell ref="A4:F4"/>
    <mergeCell ref="A5:G5"/>
    <mergeCell ref="A8:B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0"/>
  <sheetViews>
    <sheetView workbookViewId="0">
      <selection sqref="A1:G30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20" t="s">
        <v>129</v>
      </c>
      <c r="B1" s="320"/>
      <c r="C1" s="320"/>
      <c r="D1" s="320"/>
      <c r="E1" s="320"/>
      <c r="F1" s="320"/>
      <c r="G1" s="320"/>
    </row>
    <row r="2" spans="1:7" x14ac:dyDescent="0.25">
      <c r="A2" s="319" t="s">
        <v>130</v>
      </c>
      <c r="B2" s="319"/>
      <c r="C2" s="319"/>
      <c r="D2" s="319"/>
      <c r="E2" s="319"/>
      <c r="F2" s="319"/>
      <c r="G2" s="3"/>
    </row>
    <row r="3" spans="1:7" x14ac:dyDescent="0.25">
      <c r="A3" s="87"/>
      <c r="B3" s="5">
        <f>'План. расчет времени'!F22</f>
        <v>732.93569006480277</v>
      </c>
      <c r="C3" s="3" t="s">
        <v>131</v>
      </c>
      <c r="D3" s="3"/>
      <c r="E3" s="3"/>
      <c r="F3" s="3"/>
      <c r="G3" s="3"/>
    </row>
    <row r="4" spans="1:7" x14ac:dyDescent="0.25">
      <c r="A4" s="319" t="s">
        <v>132</v>
      </c>
      <c r="B4" s="319"/>
      <c r="C4" s="319"/>
      <c r="D4" s="319"/>
      <c r="E4" s="319"/>
      <c r="F4" s="319"/>
      <c r="G4" s="86"/>
    </row>
    <row r="5" spans="1:7" x14ac:dyDescent="0.25">
      <c r="A5" s="3"/>
      <c r="B5" s="3">
        <v>40</v>
      </c>
      <c r="C5" s="3" t="s">
        <v>131</v>
      </c>
      <c r="D5" s="3"/>
      <c r="E5" s="3"/>
      <c r="F5" s="3"/>
      <c r="G5" s="86"/>
    </row>
    <row r="6" spans="1:7" x14ac:dyDescent="0.25">
      <c r="A6" s="319" t="s">
        <v>133</v>
      </c>
      <c r="B6" s="319"/>
      <c r="C6" s="319"/>
      <c r="D6" s="319"/>
      <c r="E6" s="319"/>
      <c r="F6" s="319"/>
      <c r="G6" s="86"/>
    </row>
    <row r="7" spans="1:7" x14ac:dyDescent="0.25">
      <c r="A7" s="319" t="s">
        <v>134</v>
      </c>
      <c r="B7" s="319"/>
      <c r="C7" s="319"/>
      <c r="D7" s="319"/>
      <c r="E7" s="319"/>
      <c r="F7" s="319"/>
      <c r="G7" s="319"/>
    </row>
    <row r="8" spans="1:7" x14ac:dyDescent="0.25">
      <c r="A8" s="319" t="s">
        <v>135</v>
      </c>
      <c r="B8" s="319"/>
      <c r="C8" s="319"/>
      <c r="D8" s="319"/>
      <c r="E8" s="319"/>
      <c r="F8" s="319"/>
      <c r="G8" s="3"/>
    </row>
    <row r="9" spans="1:7" x14ac:dyDescent="0.25">
      <c r="A9" s="86"/>
      <c r="B9" s="86"/>
      <c r="C9" s="86"/>
      <c r="D9" s="3">
        <v>80</v>
      </c>
      <c r="E9" s="3" t="s">
        <v>131</v>
      </c>
      <c r="F9" s="3"/>
      <c r="G9" s="3"/>
    </row>
    <row r="10" spans="1:7" x14ac:dyDescent="0.25">
      <c r="A10" s="322" t="s">
        <v>136</v>
      </c>
      <c r="B10" s="322"/>
      <c r="C10" s="322"/>
      <c r="D10" s="5">
        <f>B3-B5-D9</f>
        <v>612.93569006480277</v>
      </c>
      <c r="E10" s="3" t="s">
        <v>131</v>
      </c>
      <c r="F10" s="3"/>
      <c r="G10" s="86"/>
    </row>
    <row r="11" spans="1:7" x14ac:dyDescent="0.25">
      <c r="A11" s="86"/>
      <c r="B11" s="86"/>
      <c r="C11" s="86"/>
      <c r="D11" s="86"/>
      <c r="E11" s="86"/>
      <c r="F11" s="86"/>
      <c r="G11" s="86"/>
    </row>
    <row r="12" spans="1:7" x14ac:dyDescent="0.25">
      <c r="A12" s="319" t="s">
        <v>137</v>
      </c>
      <c r="B12" s="319"/>
      <c r="C12" s="319"/>
      <c r="D12" s="319"/>
      <c r="E12" s="319"/>
      <c r="F12" s="298">
        <f>'[1]Фургон ГАЗ 3307'!$F$32</f>
        <v>136170</v>
      </c>
      <c r="G12" s="3" t="s">
        <v>98</v>
      </c>
    </row>
    <row r="13" spans="1:7" x14ac:dyDescent="0.25">
      <c r="A13" s="86"/>
      <c r="B13" s="86"/>
      <c r="C13" s="3"/>
      <c r="D13" s="3"/>
      <c r="E13" s="3"/>
      <c r="F13" s="87"/>
      <c r="G13" s="87"/>
    </row>
    <row r="14" spans="1:7" ht="15.75" thickBot="1" x14ac:dyDescent="0.3">
      <c r="A14" s="378" t="s">
        <v>138</v>
      </c>
      <c r="B14" s="376" t="s">
        <v>139</v>
      </c>
      <c r="C14" s="376"/>
      <c r="D14" s="376"/>
      <c r="E14" s="3"/>
      <c r="F14" s="87"/>
      <c r="G14" s="87"/>
    </row>
    <row r="15" spans="1:7" x14ac:dyDescent="0.25">
      <c r="A15" s="378"/>
      <c r="B15" s="377" t="s">
        <v>140</v>
      </c>
      <c r="C15" s="377"/>
      <c r="D15" s="377"/>
      <c r="E15" s="3"/>
      <c r="F15" s="87"/>
      <c r="G15" s="87"/>
    </row>
    <row r="16" spans="1:7" x14ac:dyDescent="0.25">
      <c r="A16" s="90"/>
      <c r="B16" s="91"/>
      <c r="C16" s="91"/>
      <c r="D16" s="91"/>
      <c r="E16" s="3"/>
      <c r="F16" s="87"/>
      <c r="G16" s="87"/>
    </row>
    <row r="17" spans="1:7" ht="15.75" thickBot="1" x14ac:dyDescent="0.3">
      <c r="A17" s="375" t="s">
        <v>141</v>
      </c>
      <c r="B17" s="375"/>
      <c r="C17" s="376" t="s">
        <v>142</v>
      </c>
      <c r="D17" s="376"/>
      <c r="E17" s="376"/>
      <c r="F17" s="87"/>
      <c r="G17" s="87"/>
    </row>
    <row r="18" spans="1:7" x14ac:dyDescent="0.25">
      <c r="A18" s="375"/>
      <c r="B18" s="375"/>
      <c r="C18" s="377" t="s">
        <v>140</v>
      </c>
      <c r="D18" s="377"/>
      <c r="E18" s="377"/>
      <c r="F18" s="87"/>
      <c r="G18" s="87"/>
    </row>
    <row r="19" spans="1:7" x14ac:dyDescent="0.25">
      <c r="A19" s="9"/>
      <c r="B19" s="9"/>
      <c r="C19" s="92"/>
      <c r="D19" s="92"/>
      <c r="E19" s="92"/>
      <c r="F19" s="87"/>
      <c r="G19" s="87"/>
    </row>
    <row r="20" spans="1:7" x14ac:dyDescent="0.25">
      <c r="A20" s="9"/>
      <c r="B20" s="9"/>
      <c r="C20" s="92"/>
      <c r="D20" s="92"/>
      <c r="E20" s="323" t="s">
        <v>12</v>
      </c>
      <c r="F20" s="323"/>
      <c r="G20" s="87"/>
    </row>
    <row r="21" spans="1:7" x14ac:dyDescent="0.25">
      <c r="A21" s="324" t="s">
        <v>143</v>
      </c>
      <c r="B21" s="324"/>
      <c r="C21" s="324"/>
      <c r="D21" s="324"/>
      <c r="E21" s="324"/>
      <c r="F21" s="324"/>
      <c r="G21" s="87"/>
    </row>
    <row r="22" spans="1:7" x14ac:dyDescent="0.25">
      <c r="A22" s="380" t="s">
        <v>144</v>
      </c>
      <c r="B22" s="382" t="s">
        <v>15</v>
      </c>
      <c r="C22" s="383"/>
      <c r="D22" s="383"/>
      <c r="E22" s="384" t="s">
        <v>145</v>
      </c>
      <c r="F22" s="384"/>
      <c r="G22" s="93"/>
    </row>
    <row r="23" spans="1:7" ht="45" x14ac:dyDescent="0.25">
      <c r="A23" s="381"/>
      <c r="B23" s="94" t="s">
        <v>146</v>
      </c>
      <c r="C23" s="94" t="s">
        <v>147</v>
      </c>
      <c r="D23" s="95" t="s">
        <v>148</v>
      </c>
      <c r="E23" s="94" t="s">
        <v>149</v>
      </c>
      <c r="F23" s="94" t="s">
        <v>150</v>
      </c>
      <c r="G23" s="96"/>
    </row>
    <row r="24" spans="1:7" x14ac:dyDescent="0.25">
      <c r="A24" s="97" t="s">
        <v>151</v>
      </c>
      <c r="B24" s="98">
        <v>0</v>
      </c>
      <c r="C24" s="99">
        <f>F12</f>
        <v>136170</v>
      </c>
      <c r="D24" s="100">
        <f>D10</f>
        <v>612.93569006480277</v>
      </c>
      <c r="E24" s="99">
        <f>B24/D24</f>
        <v>0</v>
      </c>
      <c r="F24" s="98">
        <f>C24/D24</f>
        <v>222.16033787427747</v>
      </c>
      <c r="G24" s="12"/>
    </row>
    <row r="25" spans="1:7" x14ac:dyDescent="0.25">
      <c r="A25" s="87"/>
      <c r="B25" s="87"/>
      <c r="C25" s="87"/>
      <c r="D25" s="87"/>
      <c r="E25" s="87"/>
      <c r="F25" s="87"/>
      <c r="G25" s="87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ht="15.75" x14ac:dyDescent="0.25">
      <c r="A29" s="385" t="s">
        <v>55</v>
      </c>
      <c r="B29" s="385"/>
      <c r="C29" s="385"/>
      <c r="D29" s="31"/>
      <c r="E29" s="343" t="s">
        <v>57</v>
      </c>
      <c r="F29" s="343"/>
      <c r="G29" s="343"/>
    </row>
    <row r="30" spans="1:7" ht="15.75" x14ac:dyDescent="0.25">
      <c r="A30" s="379" t="s">
        <v>56</v>
      </c>
      <c r="B30" s="379"/>
      <c r="C30" s="379"/>
      <c r="D30" s="31"/>
      <c r="E30" s="31"/>
      <c r="F30" s="84"/>
      <c r="G30" s="31"/>
    </row>
  </sheetData>
  <mergeCells count="22">
    <mergeCell ref="A30:C30"/>
    <mergeCell ref="E20:F20"/>
    <mergeCell ref="A21:F21"/>
    <mergeCell ref="A22:A23"/>
    <mergeCell ref="B22:D22"/>
    <mergeCell ref="E22:F22"/>
    <mergeCell ref="A29:C29"/>
    <mergeCell ref="E29:G29"/>
    <mergeCell ref="A17:B18"/>
    <mergeCell ref="C17:E17"/>
    <mergeCell ref="C18:E18"/>
    <mergeCell ref="A1:G1"/>
    <mergeCell ref="A2:F2"/>
    <mergeCell ref="A4:F4"/>
    <mergeCell ref="A6:F6"/>
    <mergeCell ref="A7:G7"/>
    <mergeCell ref="A8:F8"/>
    <mergeCell ref="A10:C10"/>
    <mergeCell ref="A12:E12"/>
    <mergeCell ref="A14:A15"/>
    <mergeCell ref="B14:D14"/>
    <mergeCell ref="B15:D15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52"/>
  <sheetViews>
    <sheetView workbookViewId="0">
      <selection activeCell="B10" sqref="B10:F48"/>
    </sheetView>
  </sheetViews>
  <sheetFormatPr defaultRowHeight="15" x14ac:dyDescent="0.25"/>
  <cols>
    <col min="1" max="1" width="4.5703125" customWidth="1"/>
    <col min="2" max="2" width="28.7109375" customWidth="1"/>
    <col min="3" max="3" width="8.28515625" customWidth="1"/>
    <col min="4" max="4" width="12.5703125" customWidth="1"/>
    <col min="5" max="5" width="10" customWidth="1"/>
    <col min="6" max="6" width="18.140625" customWidth="1"/>
    <col min="7" max="7" width="9.7109375" customWidth="1"/>
  </cols>
  <sheetData>
    <row r="1" spans="1:7" ht="14.25" customHeight="1" x14ac:dyDescent="0.25">
      <c r="A1" s="31"/>
      <c r="B1" s="31"/>
      <c r="C1" s="290"/>
      <c r="D1" s="290"/>
      <c r="E1" s="63"/>
      <c r="F1" s="63"/>
      <c r="G1" s="64" t="s">
        <v>59</v>
      </c>
    </row>
    <row r="2" spans="1:7" ht="14.25" customHeight="1" x14ac:dyDescent="0.25">
      <c r="A2" s="31"/>
      <c r="B2" s="31"/>
      <c r="C2" s="290"/>
      <c r="D2" s="290"/>
      <c r="E2" s="63"/>
      <c r="F2" s="63"/>
      <c r="G2" s="64" t="s">
        <v>60</v>
      </c>
    </row>
    <row r="3" spans="1:7" ht="14.25" customHeight="1" x14ac:dyDescent="0.25">
      <c r="A3" s="31"/>
      <c r="B3" s="31"/>
      <c r="C3" s="290"/>
      <c r="D3" s="290"/>
      <c r="E3" s="63"/>
      <c r="F3" s="63"/>
      <c r="G3" s="64" t="s">
        <v>388</v>
      </c>
    </row>
    <row r="4" spans="1:7" ht="14.25" customHeight="1" x14ac:dyDescent="0.25">
      <c r="A4" s="31"/>
      <c r="B4" s="31"/>
      <c r="C4" s="290"/>
      <c r="D4" s="290"/>
      <c r="E4" s="63"/>
      <c r="F4" s="63"/>
      <c r="G4" s="64" t="s">
        <v>389</v>
      </c>
    </row>
    <row r="5" spans="1:7" ht="14.25" customHeight="1" x14ac:dyDescent="0.25">
      <c r="A5" s="31"/>
      <c r="B5" s="31"/>
      <c r="C5" s="290"/>
      <c r="D5" s="290"/>
      <c r="E5" s="31"/>
      <c r="F5" s="42"/>
      <c r="G5" s="31"/>
    </row>
    <row r="6" spans="1:7" ht="14.25" customHeight="1" x14ac:dyDescent="0.25">
      <c r="A6" s="352" t="s">
        <v>93</v>
      </c>
      <c r="B6" s="352"/>
      <c r="C6" s="352"/>
      <c r="D6" s="352"/>
      <c r="E6" s="352"/>
      <c r="F6" s="352"/>
      <c r="G6" s="352"/>
    </row>
    <row r="7" spans="1:7" ht="14.25" customHeight="1" x14ac:dyDescent="0.25">
      <c r="A7" s="352" t="s">
        <v>152</v>
      </c>
      <c r="B7" s="352"/>
      <c r="C7" s="352"/>
      <c r="D7" s="352"/>
      <c r="E7" s="352"/>
      <c r="F7" s="352"/>
      <c r="G7" s="352"/>
    </row>
    <row r="8" spans="1:7" ht="14.25" customHeight="1" x14ac:dyDescent="0.25">
      <c r="A8" s="353" t="s">
        <v>13</v>
      </c>
      <c r="B8" s="390" t="s">
        <v>95</v>
      </c>
      <c r="C8" s="391"/>
      <c r="D8" s="392"/>
      <c r="E8" s="355"/>
      <c r="F8" s="357" t="s">
        <v>96</v>
      </c>
      <c r="G8" s="357"/>
    </row>
    <row r="9" spans="1:7" ht="14.25" customHeight="1" x14ac:dyDescent="0.25">
      <c r="A9" s="354"/>
      <c r="B9" s="393"/>
      <c r="C9" s="394"/>
      <c r="D9" s="395"/>
      <c r="E9" s="356"/>
      <c r="F9" s="65" t="s">
        <v>97</v>
      </c>
      <c r="G9" s="88" t="s">
        <v>62</v>
      </c>
    </row>
    <row r="10" spans="1:7" ht="14.25" customHeight="1" x14ac:dyDescent="0.25">
      <c r="A10" s="109"/>
      <c r="B10" s="109" t="s">
        <v>153</v>
      </c>
      <c r="C10" s="110"/>
      <c r="D10" s="109" t="s">
        <v>154</v>
      </c>
      <c r="E10" s="111"/>
      <c r="F10" s="112">
        <v>62.85</v>
      </c>
      <c r="G10" s="113" t="s">
        <v>98</v>
      </c>
    </row>
    <row r="11" spans="1:7" ht="14.25" customHeight="1" x14ac:dyDescent="0.25">
      <c r="A11" s="109"/>
      <c r="B11" s="109"/>
      <c r="C11" s="110"/>
      <c r="D11" s="109"/>
      <c r="E11" s="111"/>
      <c r="F11" s="112"/>
      <c r="G11" s="113"/>
    </row>
    <row r="12" spans="1:7" ht="14.25" customHeight="1" x14ac:dyDescent="0.25">
      <c r="A12" s="109"/>
      <c r="B12" s="386" t="s">
        <v>99</v>
      </c>
      <c r="C12" s="387"/>
      <c r="D12" s="388"/>
      <c r="E12" s="114">
        <v>0.25</v>
      </c>
      <c r="F12" s="112">
        <v>15.7125</v>
      </c>
      <c r="G12" s="113" t="s">
        <v>98</v>
      </c>
    </row>
    <row r="13" spans="1:7" ht="14.25" customHeight="1" x14ac:dyDescent="0.25">
      <c r="A13" s="109"/>
      <c r="B13" s="308"/>
      <c r="C13" s="116"/>
      <c r="D13" s="308"/>
      <c r="E13" s="114"/>
      <c r="F13" s="112"/>
      <c r="G13" s="113"/>
    </row>
    <row r="14" spans="1:7" ht="14.25" customHeight="1" x14ac:dyDescent="0.25">
      <c r="A14" s="109"/>
      <c r="B14" s="386" t="s">
        <v>100</v>
      </c>
      <c r="C14" s="387"/>
      <c r="D14" s="388"/>
      <c r="E14" s="114">
        <v>0.1</v>
      </c>
      <c r="F14" s="112">
        <v>6.2850000000000001</v>
      </c>
      <c r="G14" s="113" t="s">
        <v>98</v>
      </c>
    </row>
    <row r="15" spans="1:7" ht="14.25" customHeight="1" x14ac:dyDescent="0.25">
      <c r="A15" s="109"/>
      <c r="B15" s="308"/>
      <c r="C15" s="116"/>
      <c r="D15" s="308"/>
      <c r="E15" s="111"/>
      <c r="F15" s="112"/>
      <c r="G15" s="113"/>
    </row>
    <row r="16" spans="1:7" ht="14.25" customHeight="1" x14ac:dyDescent="0.25">
      <c r="A16" s="109"/>
      <c r="B16" s="109" t="s">
        <v>101</v>
      </c>
      <c r="C16" s="110"/>
      <c r="D16" s="109"/>
      <c r="E16" s="114">
        <v>0.4</v>
      </c>
      <c r="F16" s="112">
        <v>25.14</v>
      </c>
      <c r="G16" s="113" t="s">
        <v>98</v>
      </c>
    </row>
    <row r="17" spans="1:7" ht="14.25" customHeight="1" x14ac:dyDescent="0.25">
      <c r="A17" s="109"/>
      <c r="B17" s="109"/>
      <c r="C17" s="110"/>
      <c r="D17" s="109"/>
      <c r="E17" s="114"/>
      <c r="F17" s="112"/>
      <c r="G17" s="113"/>
    </row>
    <row r="18" spans="1:7" ht="14.25" customHeight="1" x14ac:dyDescent="0.25">
      <c r="A18" s="109"/>
      <c r="B18" s="109" t="s">
        <v>102</v>
      </c>
      <c r="C18" s="110"/>
      <c r="D18" s="109"/>
      <c r="E18" s="111"/>
      <c r="F18" s="112">
        <v>60</v>
      </c>
      <c r="G18" s="113" t="s">
        <v>103</v>
      </c>
    </row>
    <row r="19" spans="1:7" ht="14.25" customHeight="1" x14ac:dyDescent="0.25">
      <c r="A19" s="109"/>
      <c r="B19" s="109"/>
      <c r="C19" s="110"/>
      <c r="D19" s="109"/>
      <c r="E19" s="111"/>
      <c r="F19" s="112"/>
      <c r="G19" s="109"/>
    </row>
    <row r="20" spans="1:7" ht="14.25" customHeight="1" x14ac:dyDescent="0.25">
      <c r="A20" s="117">
        <v>1</v>
      </c>
      <c r="B20" s="118" t="s">
        <v>104</v>
      </c>
      <c r="C20" s="119"/>
      <c r="D20" s="118"/>
      <c r="E20" s="120"/>
      <c r="F20" s="121">
        <v>109.9875</v>
      </c>
      <c r="G20" s="117" t="s">
        <v>98</v>
      </c>
    </row>
    <row r="21" spans="1:7" ht="14.25" customHeight="1" x14ac:dyDescent="0.25">
      <c r="A21" s="117"/>
      <c r="B21" s="118"/>
      <c r="C21" s="119"/>
      <c r="D21" s="109"/>
      <c r="E21" s="111"/>
      <c r="F21" s="112"/>
      <c r="G21" s="113"/>
    </row>
    <row r="22" spans="1:7" ht="14.25" customHeight="1" x14ac:dyDescent="0.25">
      <c r="A22" s="117">
        <v>2</v>
      </c>
      <c r="B22" s="118" t="s">
        <v>105</v>
      </c>
      <c r="C22" s="119"/>
      <c r="D22" s="118"/>
      <c r="E22" s="122">
        <v>0.30199999999999999</v>
      </c>
      <c r="F22" s="121">
        <v>33.216225000000001</v>
      </c>
      <c r="G22" s="117" t="s">
        <v>98</v>
      </c>
    </row>
    <row r="23" spans="1:7" ht="14.25" customHeight="1" x14ac:dyDescent="0.25">
      <c r="A23" s="117"/>
      <c r="B23" s="118"/>
      <c r="C23" s="119"/>
      <c r="D23" s="109"/>
      <c r="E23" s="114"/>
      <c r="F23" s="112"/>
      <c r="G23" s="113"/>
    </row>
    <row r="24" spans="1:7" ht="14.25" customHeight="1" x14ac:dyDescent="0.25">
      <c r="A24" s="117">
        <v>3</v>
      </c>
      <c r="B24" s="118" t="s">
        <v>106</v>
      </c>
      <c r="C24" s="119"/>
      <c r="D24" s="118" t="s">
        <v>155</v>
      </c>
      <c r="E24" s="122"/>
      <c r="F24" s="121">
        <v>0</v>
      </c>
      <c r="G24" s="117" t="s">
        <v>98</v>
      </c>
    </row>
    <row r="25" spans="1:7" ht="14.25" customHeight="1" x14ac:dyDescent="0.25">
      <c r="A25" s="117"/>
      <c r="B25" s="118"/>
      <c r="C25" s="119"/>
      <c r="D25" s="109"/>
      <c r="E25" s="114"/>
      <c r="F25" s="112"/>
      <c r="G25" s="113"/>
    </row>
    <row r="26" spans="1:7" ht="14.25" customHeight="1" x14ac:dyDescent="0.25">
      <c r="A26" s="117">
        <v>4</v>
      </c>
      <c r="B26" s="118" t="s">
        <v>108</v>
      </c>
      <c r="C26" s="119"/>
      <c r="D26" s="118"/>
      <c r="E26" s="122"/>
      <c r="F26" s="121">
        <v>112.51000177596377</v>
      </c>
      <c r="G26" s="117" t="s">
        <v>98</v>
      </c>
    </row>
    <row r="27" spans="1:7" ht="14.25" customHeight="1" x14ac:dyDescent="0.25">
      <c r="A27" s="117"/>
      <c r="B27" s="118"/>
      <c r="C27" s="119"/>
      <c r="D27" s="109"/>
      <c r="E27" s="114"/>
      <c r="F27" s="112"/>
      <c r="G27" s="113"/>
    </row>
    <row r="28" spans="1:7" ht="14.25" customHeight="1" x14ac:dyDescent="0.25">
      <c r="A28" s="117">
        <v>5</v>
      </c>
      <c r="B28" s="118" t="s">
        <v>156</v>
      </c>
      <c r="C28" s="386" t="s">
        <v>157</v>
      </c>
      <c r="D28" s="388"/>
      <c r="E28" s="123"/>
      <c r="F28" s="124">
        <v>10.25</v>
      </c>
      <c r="G28" s="113" t="s">
        <v>111</v>
      </c>
    </row>
    <row r="29" spans="1:7" ht="14.25" customHeight="1" x14ac:dyDescent="0.25">
      <c r="A29" s="117"/>
      <c r="B29" s="118"/>
      <c r="C29" s="389">
        <v>10.25</v>
      </c>
      <c r="D29" s="424"/>
      <c r="E29" s="125">
        <v>34.53</v>
      </c>
      <c r="F29" s="126">
        <v>353.9325</v>
      </c>
      <c r="G29" s="117" t="s">
        <v>98</v>
      </c>
    </row>
    <row r="30" spans="1:7" ht="14.25" customHeight="1" x14ac:dyDescent="0.25">
      <c r="A30" s="117"/>
      <c r="B30" s="118"/>
      <c r="C30" s="119"/>
      <c r="D30" s="109"/>
      <c r="E30" s="114"/>
      <c r="F30" s="112"/>
      <c r="G30" s="113"/>
    </row>
    <row r="31" spans="1:7" ht="14.25" customHeight="1" x14ac:dyDescent="0.25">
      <c r="A31" s="117">
        <v>6</v>
      </c>
      <c r="B31" s="118" t="s">
        <v>112</v>
      </c>
      <c r="C31" s="127"/>
      <c r="D31" s="109"/>
      <c r="E31" s="111"/>
      <c r="F31" s="112"/>
      <c r="G31" s="104"/>
    </row>
    <row r="32" spans="1:7" ht="14.25" customHeight="1" x14ac:dyDescent="0.25">
      <c r="A32" s="117"/>
      <c r="B32" s="109" t="s">
        <v>113</v>
      </c>
      <c r="C32" s="128">
        <v>2.1000000000000001E-2</v>
      </c>
      <c r="D32" s="129" t="s">
        <v>116</v>
      </c>
      <c r="E32" s="130">
        <v>186.99</v>
      </c>
      <c r="F32" s="112">
        <v>40.249597500000007</v>
      </c>
      <c r="G32" s="113" t="s">
        <v>98</v>
      </c>
    </row>
    <row r="33" spans="1:7" ht="14.25" customHeight="1" x14ac:dyDescent="0.25">
      <c r="A33" s="117"/>
      <c r="B33" s="109" t="s">
        <v>115</v>
      </c>
      <c r="C33" s="128">
        <v>3.0000000000000001E-3</v>
      </c>
      <c r="D33" s="131" t="s">
        <v>116</v>
      </c>
      <c r="E33" s="130">
        <v>107.82</v>
      </c>
      <c r="F33" s="112">
        <v>3.3154649999999997</v>
      </c>
      <c r="G33" s="113" t="s">
        <v>98</v>
      </c>
    </row>
    <row r="34" spans="1:7" ht="14.25" customHeight="1" x14ac:dyDescent="0.25">
      <c r="A34" s="117"/>
      <c r="B34" s="109" t="s">
        <v>117</v>
      </c>
      <c r="C34" s="128">
        <v>1E-3</v>
      </c>
      <c r="D34" s="131" t="s">
        <v>116</v>
      </c>
      <c r="E34" s="130">
        <v>75.260000000000005</v>
      </c>
      <c r="F34" s="112">
        <v>0.77141500000000007</v>
      </c>
      <c r="G34" s="113" t="s">
        <v>98</v>
      </c>
    </row>
    <row r="35" spans="1:7" ht="14.25" customHeight="1" x14ac:dyDescent="0.25">
      <c r="A35" s="117"/>
      <c r="B35" s="109" t="s">
        <v>118</v>
      </c>
      <c r="C35" s="132">
        <v>2.5000000000000001E-3</v>
      </c>
      <c r="D35" s="133" t="s">
        <v>116</v>
      </c>
      <c r="E35" s="130">
        <v>132.04</v>
      </c>
      <c r="F35" s="112">
        <v>3.3835250000000001</v>
      </c>
      <c r="G35" s="113" t="s">
        <v>98</v>
      </c>
    </row>
    <row r="36" spans="1:7" ht="14.25" customHeight="1" x14ac:dyDescent="0.25">
      <c r="A36" s="117"/>
      <c r="B36" s="109" t="s">
        <v>119</v>
      </c>
      <c r="C36" s="110"/>
      <c r="D36" s="109"/>
      <c r="E36" s="134"/>
      <c r="F36" s="121">
        <v>47.720002500000007</v>
      </c>
      <c r="G36" s="117" t="s">
        <v>98</v>
      </c>
    </row>
    <row r="37" spans="1:7" ht="14.25" customHeight="1" x14ac:dyDescent="0.25">
      <c r="A37" s="117"/>
      <c r="B37" s="109"/>
      <c r="C37" s="110"/>
      <c r="D37" s="109"/>
      <c r="E37" s="114"/>
      <c r="F37" s="121"/>
      <c r="G37" s="117"/>
    </row>
    <row r="38" spans="1:7" ht="14.25" customHeight="1" x14ac:dyDescent="0.25">
      <c r="A38" s="117">
        <v>7</v>
      </c>
      <c r="B38" s="118" t="s">
        <v>120</v>
      </c>
      <c r="C38" s="119"/>
      <c r="D38" s="118"/>
      <c r="E38" s="122">
        <v>0.6</v>
      </c>
      <c r="F38" s="121">
        <v>65.992499999999993</v>
      </c>
      <c r="G38" s="117" t="s">
        <v>98</v>
      </c>
    </row>
    <row r="39" spans="1:7" ht="14.25" customHeight="1" x14ac:dyDescent="0.25">
      <c r="A39" s="113"/>
      <c r="B39" s="109"/>
      <c r="C39" s="110"/>
      <c r="D39" s="109"/>
      <c r="E39" s="114"/>
      <c r="F39" s="112"/>
      <c r="G39" s="113"/>
    </row>
    <row r="40" spans="1:7" ht="14.25" customHeight="1" x14ac:dyDescent="0.25">
      <c r="A40" s="117">
        <v>8</v>
      </c>
      <c r="B40" s="118" t="s">
        <v>121</v>
      </c>
      <c r="C40" s="119"/>
      <c r="D40" s="118"/>
      <c r="E40" s="122"/>
      <c r="F40" s="121">
        <v>723.3587292759637</v>
      </c>
      <c r="G40" s="117" t="s">
        <v>98</v>
      </c>
    </row>
    <row r="41" spans="1:7" ht="14.25" customHeight="1" x14ac:dyDescent="0.25">
      <c r="A41" s="117"/>
      <c r="B41" s="118"/>
      <c r="C41" s="119"/>
      <c r="D41" s="118"/>
      <c r="E41" s="122"/>
      <c r="F41" s="121"/>
      <c r="G41" s="117"/>
    </row>
    <row r="42" spans="1:7" ht="14.25" customHeight="1" x14ac:dyDescent="0.25">
      <c r="A42" s="117">
        <v>9</v>
      </c>
      <c r="B42" s="118" t="s">
        <v>122</v>
      </c>
      <c r="C42" s="119"/>
      <c r="D42" s="118"/>
      <c r="E42" s="122"/>
      <c r="F42" s="121"/>
      <c r="G42" s="117"/>
    </row>
    <row r="43" spans="1:7" ht="14.25" customHeight="1" x14ac:dyDescent="0.25">
      <c r="A43" s="113"/>
      <c r="B43" s="109" t="s">
        <v>123</v>
      </c>
      <c r="C43" s="110"/>
      <c r="D43" s="109"/>
      <c r="E43" s="114">
        <v>0.1</v>
      </c>
      <c r="F43" s="112">
        <v>72.33587292759637</v>
      </c>
      <c r="G43" s="113" t="s">
        <v>98</v>
      </c>
    </row>
    <row r="44" spans="1:7" ht="14.25" customHeight="1" x14ac:dyDescent="0.25">
      <c r="A44" s="113"/>
      <c r="B44" s="109" t="s">
        <v>124</v>
      </c>
      <c r="C44" s="110"/>
      <c r="D44" s="109"/>
      <c r="E44" s="114">
        <v>0.15</v>
      </c>
      <c r="F44" s="112">
        <v>108.50380939139455</v>
      </c>
      <c r="G44" s="113" t="s">
        <v>98</v>
      </c>
    </row>
    <row r="45" spans="1:7" ht="14.25" customHeight="1" x14ac:dyDescent="0.25">
      <c r="A45" s="113"/>
      <c r="B45" s="109"/>
      <c r="C45" s="110"/>
      <c r="D45" s="109"/>
      <c r="E45" s="114"/>
      <c r="F45" s="112"/>
      <c r="G45" s="113"/>
    </row>
    <row r="46" spans="1:7" ht="14.25" customHeight="1" x14ac:dyDescent="0.25">
      <c r="A46" s="117">
        <v>10</v>
      </c>
      <c r="B46" s="118" t="s">
        <v>125</v>
      </c>
      <c r="C46" s="119"/>
      <c r="D46" s="118"/>
      <c r="E46" s="122"/>
      <c r="F46" s="121"/>
      <c r="G46" s="117"/>
    </row>
    <row r="47" spans="1:7" ht="14.25" customHeight="1" x14ac:dyDescent="0.25">
      <c r="A47" s="113"/>
      <c r="B47" s="109" t="s">
        <v>123</v>
      </c>
      <c r="C47" s="110"/>
      <c r="D47" s="109"/>
      <c r="E47" s="114"/>
      <c r="F47" s="121">
        <v>795.69460220356007</v>
      </c>
      <c r="G47" s="117" t="s">
        <v>98</v>
      </c>
    </row>
    <row r="48" spans="1:7" ht="14.25" customHeight="1" x14ac:dyDescent="0.25">
      <c r="A48" s="113"/>
      <c r="B48" s="109" t="s">
        <v>124</v>
      </c>
      <c r="C48" s="110"/>
      <c r="D48" s="109"/>
      <c r="E48" s="114"/>
      <c r="F48" s="121">
        <v>831.86253866735819</v>
      </c>
      <c r="G48" s="117" t="s">
        <v>98</v>
      </c>
    </row>
    <row r="49" spans="1:7" ht="14.25" customHeight="1" x14ac:dyDescent="0.25">
      <c r="A49" s="104"/>
      <c r="B49" s="104"/>
      <c r="C49" s="105"/>
      <c r="D49" s="104"/>
      <c r="E49" s="107"/>
      <c r="F49" s="108"/>
      <c r="G49" s="108"/>
    </row>
    <row r="50" spans="1:7" ht="14.25" customHeight="1" x14ac:dyDescent="0.25">
      <c r="A50" s="104"/>
      <c r="B50" s="104"/>
      <c r="C50" s="105"/>
      <c r="D50" s="104"/>
      <c r="E50" s="107"/>
      <c r="F50" s="108"/>
      <c r="G50" s="104"/>
    </row>
    <row r="51" spans="1:7" ht="14.25" customHeight="1" x14ac:dyDescent="0.25">
      <c r="A51" s="31"/>
      <c r="B51" s="83" t="s">
        <v>55</v>
      </c>
      <c r="C51" s="83"/>
      <c r="D51" s="83"/>
      <c r="E51" s="31"/>
      <c r="F51" s="62" t="s">
        <v>57</v>
      </c>
      <c r="G51" s="31"/>
    </row>
    <row r="52" spans="1:7" ht="14.25" customHeight="1" x14ac:dyDescent="0.25">
      <c r="A52" s="31"/>
      <c r="B52" s="84" t="s">
        <v>56</v>
      </c>
      <c r="C52" s="83"/>
      <c r="D52" s="83"/>
      <c r="E52" s="31"/>
      <c r="F52" s="42"/>
      <c r="G52" s="31"/>
    </row>
  </sheetData>
  <mergeCells count="10">
    <mergeCell ref="B12:D12"/>
    <mergeCell ref="B14:D14"/>
    <mergeCell ref="C28:D28"/>
    <mergeCell ref="C29:D29"/>
    <mergeCell ref="A6:G6"/>
    <mergeCell ref="A7:G7"/>
    <mergeCell ref="A8:A9"/>
    <mergeCell ref="B8:D9"/>
    <mergeCell ref="E8:E9"/>
    <mergeCell ref="F8:G8"/>
  </mergeCells>
  <pageMargins left="0.25" right="0.25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0"/>
  <sheetViews>
    <sheetView workbookViewId="0">
      <selection activeCell="I30" sqref="I30:J30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20" t="s">
        <v>158</v>
      </c>
      <c r="B1" s="320"/>
      <c r="C1" s="320"/>
      <c r="D1" s="320"/>
      <c r="E1" s="320"/>
      <c r="F1" s="320"/>
      <c r="G1" s="320"/>
    </row>
    <row r="2" spans="1:7" x14ac:dyDescent="0.25">
      <c r="A2" s="319" t="s">
        <v>130</v>
      </c>
      <c r="B2" s="319"/>
      <c r="C2" s="319"/>
      <c r="D2" s="319"/>
      <c r="E2" s="319"/>
      <c r="F2" s="319"/>
      <c r="G2" s="3"/>
    </row>
    <row r="3" spans="1:7" x14ac:dyDescent="0.25">
      <c r="A3" s="87"/>
      <c r="B3" s="5">
        <f>'План. расчет времени'!F23</f>
        <v>1185.0821987333672</v>
      </c>
      <c r="C3" s="3" t="s">
        <v>131</v>
      </c>
      <c r="D3" s="3"/>
      <c r="E3" s="3"/>
      <c r="F3" s="3"/>
      <c r="G3" s="3"/>
    </row>
    <row r="4" spans="1:7" x14ac:dyDescent="0.25">
      <c r="A4" s="319" t="s">
        <v>132</v>
      </c>
      <c r="B4" s="319"/>
      <c r="C4" s="319"/>
      <c r="D4" s="319"/>
      <c r="E4" s="319"/>
      <c r="F4" s="319"/>
      <c r="G4" s="86"/>
    </row>
    <row r="5" spans="1:7" x14ac:dyDescent="0.25">
      <c r="A5" s="3"/>
      <c r="B5" s="3">
        <v>80</v>
      </c>
      <c r="C5" s="3" t="s">
        <v>131</v>
      </c>
      <c r="D5" s="3"/>
      <c r="E5" s="3"/>
      <c r="F5" s="3"/>
      <c r="G5" s="86"/>
    </row>
    <row r="6" spans="1:7" x14ac:dyDescent="0.25">
      <c r="A6" s="319" t="s">
        <v>159</v>
      </c>
      <c r="B6" s="319"/>
      <c r="C6" s="319"/>
      <c r="D6" s="319"/>
      <c r="E6" s="319"/>
      <c r="F6" s="319"/>
      <c r="G6" s="86"/>
    </row>
    <row r="7" spans="1:7" x14ac:dyDescent="0.25">
      <c r="A7" s="319" t="s">
        <v>134</v>
      </c>
      <c r="B7" s="319"/>
      <c r="C7" s="319"/>
      <c r="D7" s="319"/>
      <c r="E7" s="319"/>
      <c r="F7" s="319"/>
      <c r="G7" s="319"/>
    </row>
    <row r="8" spans="1:7" x14ac:dyDescent="0.25">
      <c r="A8" s="319" t="s">
        <v>160</v>
      </c>
      <c r="B8" s="319"/>
      <c r="C8" s="319"/>
      <c r="D8" s="319"/>
      <c r="E8" s="319"/>
      <c r="F8" s="319"/>
      <c r="G8" s="3"/>
    </row>
    <row r="9" spans="1:7" x14ac:dyDescent="0.25">
      <c r="A9" s="86"/>
      <c r="B9" s="86"/>
      <c r="C9" s="86"/>
      <c r="D9" s="3">
        <v>80</v>
      </c>
      <c r="E9" s="3" t="s">
        <v>131</v>
      </c>
      <c r="F9" s="3"/>
      <c r="G9" s="3"/>
    </row>
    <row r="10" spans="1:7" x14ac:dyDescent="0.25">
      <c r="A10" s="322" t="s">
        <v>136</v>
      </c>
      <c r="B10" s="322"/>
      <c r="C10" s="322"/>
      <c r="D10" s="5">
        <f>B3-B5-D9</f>
        <v>1025.0821987333672</v>
      </c>
      <c r="E10" s="3" t="s">
        <v>131</v>
      </c>
      <c r="F10" s="3"/>
      <c r="G10" s="86"/>
    </row>
    <row r="11" spans="1:7" x14ac:dyDescent="0.25">
      <c r="A11" s="86"/>
      <c r="B11" s="86"/>
      <c r="C11" s="86"/>
      <c r="D11" s="86"/>
      <c r="E11" s="86"/>
      <c r="F11" s="86"/>
      <c r="G11" s="86"/>
    </row>
    <row r="12" spans="1:7" x14ac:dyDescent="0.25">
      <c r="A12" s="319" t="s">
        <v>137</v>
      </c>
      <c r="B12" s="319"/>
      <c r="C12" s="319"/>
      <c r="D12" s="319"/>
      <c r="E12" s="319"/>
      <c r="F12" s="298">
        <f>'[1]Фургон ГАЗ 430100'!$F$39</f>
        <v>115332</v>
      </c>
      <c r="G12" s="3" t="s">
        <v>98</v>
      </c>
    </row>
    <row r="13" spans="1:7" x14ac:dyDescent="0.25">
      <c r="A13" s="86"/>
      <c r="B13" s="86"/>
      <c r="C13" s="3"/>
      <c r="D13" s="3"/>
      <c r="E13" s="3"/>
      <c r="F13" s="87"/>
      <c r="G13" s="87"/>
    </row>
    <row r="14" spans="1:7" ht="15.75" thickBot="1" x14ac:dyDescent="0.3">
      <c r="A14" s="378" t="s">
        <v>138</v>
      </c>
      <c r="B14" s="376" t="s">
        <v>139</v>
      </c>
      <c r="C14" s="376"/>
      <c r="D14" s="376"/>
      <c r="E14" s="3"/>
      <c r="F14" s="87"/>
      <c r="G14" s="87"/>
    </row>
    <row r="15" spans="1:7" x14ac:dyDescent="0.25">
      <c r="A15" s="378"/>
      <c r="B15" s="377" t="s">
        <v>140</v>
      </c>
      <c r="C15" s="377"/>
      <c r="D15" s="377"/>
      <c r="E15" s="3"/>
      <c r="F15" s="87"/>
      <c r="G15" s="87"/>
    </row>
    <row r="16" spans="1:7" x14ac:dyDescent="0.25">
      <c r="A16" s="90"/>
      <c r="B16" s="91"/>
      <c r="C16" s="91"/>
      <c r="D16" s="91"/>
      <c r="E16" s="3"/>
      <c r="F16" s="87"/>
      <c r="G16" s="87"/>
    </row>
    <row r="17" spans="1:7" ht="15.75" thickBot="1" x14ac:dyDescent="0.3">
      <c r="A17" s="375" t="s">
        <v>141</v>
      </c>
      <c r="B17" s="375"/>
      <c r="C17" s="376" t="s">
        <v>142</v>
      </c>
      <c r="D17" s="376"/>
      <c r="E17" s="376"/>
      <c r="F17" s="87"/>
      <c r="G17" s="87"/>
    </row>
    <row r="18" spans="1:7" x14ac:dyDescent="0.25">
      <c r="A18" s="375"/>
      <c r="B18" s="375"/>
      <c r="C18" s="377" t="s">
        <v>140</v>
      </c>
      <c r="D18" s="377"/>
      <c r="E18" s="377"/>
      <c r="F18" s="87"/>
      <c r="G18" s="87"/>
    </row>
    <row r="19" spans="1:7" x14ac:dyDescent="0.25">
      <c r="A19" s="9"/>
      <c r="B19" s="9"/>
      <c r="C19" s="92"/>
      <c r="D19" s="92"/>
      <c r="E19" s="92"/>
      <c r="F19" s="87"/>
      <c r="G19" s="87"/>
    </row>
    <row r="20" spans="1:7" x14ac:dyDescent="0.25">
      <c r="A20" s="9"/>
      <c r="B20" s="9"/>
      <c r="C20" s="92"/>
      <c r="D20" s="92"/>
      <c r="E20" s="323" t="s">
        <v>12</v>
      </c>
      <c r="F20" s="323"/>
      <c r="G20" s="87"/>
    </row>
    <row r="21" spans="1:7" x14ac:dyDescent="0.25">
      <c r="A21" s="324" t="s">
        <v>143</v>
      </c>
      <c r="B21" s="324"/>
      <c r="C21" s="324"/>
      <c r="D21" s="324"/>
      <c r="E21" s="324"/>
      <c r="F21" s="324"/>
      <c r="G21" s="87"/>
    </row>
    <row r="22" spans="1:7" x14ac:dyDescent="0.25">
      <c r="A22" s="380" t="s">
        <v>144</v>
      </c>
      <c r="B22" s="382" t="s">
        <v>15</v>
      </c>
      <c r="C22" s="383"/>
      <c r="D22" s="383"/>
      <c r="E22" s="384" t="s">
        <v>145</v>
      </c>
      <c r="F22" s="384"/>
      <c r="G22" s="93"/>
    </row>
    <row r="23" spans="1:7" ht="45" x14ac:dyDescent="0.25">
      <c r="A23" s="381"/>
      <c r="B23" s="94" t="s">
        <v>146</v>
      </c>
      <c r="C23" s="94" t="s">
        <v>147</v>
      </c>
      <c r="D23" s="95" t="s">
        <v>148</v>
      </c>
      <c r="E23" s="94" t="s">
        <v>149</v>
      </c>
      <c r="F23" s="94" t="s">
        <v>150</v>
      </c>
      <c r="G23" s="96"/>
    </row>
    <row r="24" spans="1:7" x14ac:dyDescent="0.25">
      <c r="A24" s="97" t="s">
        <v>161</v>
      </c>
      <c r="B24" s="98">
        <v>0</v>
      </c>
      <c r="C24" s="99">
        <f>F12</f>
        <v>115332</v>
      </c>
      <c r="D24" s="100">
        <f>D10</f>
        <v>1025.0821987333672</v>
      </c>
      <c r="E24" s="99">
        <f>B24/D24</f>
        <v>0</v>
      </c>
      <c r="F24" s="98">
        <f>C24/D24</f>
        <v>112.51000177596377</v>
      </c>
      <c r="G24" s="12"/>
    </row>
    <row r="25" spans="1:7" x14ac:dyDescent="0.25">
      <c r="A25" s="87"/>
      <c r="B25" s="87"/>
      <c r="C25" s="87"/>
      <c r="D25" s="87"/>
      <c r="E25" s="87"/>
      <c r="F25" s="87"/>
      <c r="G25" s="87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ht="15.75" x14ac:dyDescent="0.25">
      <c r="A29" s="385" t="s">
        <v>55</v>
      </c>
      <c r="B29" s="385"/>
      <c r="C29" s="385"/>
      <c r="D29" s="31"/>
      <c r="E29" s="343" t="s">
        <v>57</v>
      </c>
      <c r="F29" s="343"/>
      <c r="G29" s="343"/>
    </row>
    <row r="30" spans="1:7" ht="15.75" x14ac:dyDescent="0.25">
      <c r="A30" s="379" t="s">
        <v>56</v>
      </c>
      <c r="B30" s="379"/>
      <c r="C30" s="379"/>
      <c r="D30" s="31"/>
      <c r="E30" s="31"/>
      <c r="F30" s="84"/>
      <c r="G30" s="31"/>
    </row>
  </sheetData>
  <mergeCells count="22">
    <mergeCell ref="A30:C30"/>
    <mergeCell ref="E20:F20"/>
    <mergeCell ref="A21:F21"/>
    <mergeCell ref="A22:A23"/>
    <mergeCell ref="B22:D22"/>
    <mergeCell ref="E22:F22"/>
    <mergeCell ref="A29:C29"/>
    <mergeCell ref="E29:G29"/>
    <mergeCell ref="A17:B18"/>
    <mergeCell ref="C17:E17"/>
    <mergeCell ref="C18:E18"/>
    <mergeCell ref="A1:G1"/>
    <mergeCell ref="A2:F2"/>
    <mergeCell ref="A4:F4"/>
    <mergeCell ref="A6:F6"/>
    <mergeCell ref="A7:G7"/>
    <mergeCell ref="A8:F8"/>
    <mergeCell ref="A10:C10"/>
    <mergeCell ref="A12:E12"/>
    <mergeCell ref="A14:A15"/>
    <mergeCell ref="B14:D14"/>
    <mergeCell ref="B15:D15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52"/>
  <sheetViews>
    <sheetView workbookViewId="0">
      <selection activeCell="B10" sqref="B10:F48"/>
    </sheetView>
  </sheetViews>
  <sheetFormatPr defaultRowHeight="15" x14ac:dyDescent="0.25"/>
  <cols>
    <col min="1" max="1" width="6.28515625" customWidth="1"/>
    <col min="2" max="2" width="31.42578125" customWidth="1"/>
    <col min="3" max="3" width="8.7109375" customWidth="1"/>
    <col min="4" max="4" width="13.140625" customWidth="1"/>
    <col min="5" max="5" width="9.7109375" customWidth="1"/>
    <col min="6" max="6" width="15.5703125" customWidth="1"/>
    <col min="7" max="7" width="13.28515625" customWidth="1"/>
  </cols>
  <sheetData>
    <row r="1" spans="1:7" ht="14.25" customHeight="1" x14ac:dyDescent="0.25">
      <c r="A1" s="31"/>
      <c r="B1" s="31"/>
      <c r="C1" s="290"/>
      <c r="D1" s="290"/>
      <c r="E1" s="63"/>
      <c r="F1" s="63"/>
      <c r="G1" s="64" t="s">
        <v>59</v>
      </c>
    </row>
    <row r="2" spans="1:7" ht="14.25" customHeight="1" x14ac:dyDescent="0.25">
      <c r="A2" s="31"/>
      <c r="B2" s="31"/>
      <c r="C2" s="290"/>
      <c r="D2" s="290"/>
      <c r="E2" s="63"/>
      <c r="F2" s="63"/>
      <c r="G2" s="64" t="s">
        <v>60</v>
      </c>
    </row>
    <row r="3" spans="1:7" ht="14.25" customHeight="1" x14ac:dyDescent="0.25">
      <c r="A3" s="31"/>
      <c r="B3" s="31"/>
      <c r="C3" s="290"/>
      <c r="D3" s="290"/>
      <c r="E3" s="63"/>
      <c r="F3" s="63"/>
      <c r="G3" s="64" t="s">
        <v>388</v>
      </c>
    </row>
    <row r="4" spans="1:7" ht="14.25" customHeight="1" x14ac:dyDescent="0.25">
      <c r="A4" s="31"/>
      <c r="B4" s="31"/>
      <c r="C4" s="290"/>
      <c r="D4" s="290"/>
      <c r="E4" s="63"/>
      <c r="F4" s="63"/>
      <c r="G4" s="64" t="s">
        <v>389</v>
      </c>
    </row>
    <row r="5" spans="1:7" ht="14.25" customHeight="1" x14ac:dyDescent="0.25">
      <c r="A5" s="31"/>
      <c r="B5" s="31"/>
      <c r="C5" s="290"/>
      <c r="D5" s="290"/>
      <c r="E5" s="31"/>
      <c r="F5" s="42"/>
      <c r="G5" s="31"/>
    </row>
    <row r="6" spans="1:7" ht="14.25" customHeight="1" x14ac:dyDescent="0.25">
      <c r="A6" s="396" t="s">
        <v>93</v>
      </c>
      <c r="B6" s="396"/>
      <c r="C6" s="396"/>
      <c r="D6" s="396"/>
      <c r="E6" s="396"/>
      <c r="F6" s="396"/>
      <c r="G6" s="396"/>
    </row>
    <row r="7" spans="1:7" ht="14.25" customHeight="1" x14ac:dyDescent="0.25">
      <c r="A7" s="396" t="s">
        <v>163</v>
      </c>
      <c r="B7" s="396"/>
      <c r="C7" s="396"/>
      <c r="D7" s="396"/>
      <c r="E7" s="396"/>
      <c r="F7" s="396"/>
      <c r="G7" s="396"/>
    </row>
    <row r="8" spans="1:7" ht="14.25" customHeight="1" x14ac:dyDescent="0.25">
      <c r="A8" s="397" t="s">
        <v>13</v>
      </c>
      <c r="B8" s="399" t="s">
        <v>95</v>
      </c>
      <c r="C8" s="400"/>
      <c r="D8" s="400"/>
      <c r="E8" s="401"/>
      <c r="F8" s="405" t="s">
        <v>96</v>
      </c>
      <c r="G8" s="405"/>
    </row>
    <row r="9" spans="1:7" ht="14.25" customHeight="1" x14ac:dyDescent="0.25">
      <c r="A9" s="398"/>
      <c r="B9" s="402"/>
      <c r="C9" s="403"/>
      <c r="D9" s="403"/>
      <c r="E9" s="404"/>
      <c r="F9" s="136" t="s">
        <v>97</v>
      </c>
      <c r="G9" s="137" t="s">
        <v>62</v>
      </c>
    </row>
    <row r="10" spans="1:7" ht="14.25" customHeight="1" x14ac:dyDescent="0.25">
      <c r="A10" s="109"/>
      <c r="B10" s="109" t="s">
        <v>153</v>
      </c>
      <c r="C10" s="113"/>
      <c r="D10" s="109"/>
      <c r="E10" s="109"/>
      <c r="F10" s="112">
        <v>62.85</v>
      </c>
      <c r="G10" s="113" t="s">
        <v>98</v>
      </c>
    </row>
    <row r="11" spans="1:7" ht="14.25" customHeight="1" x14ac:dyDescent="0.25">
      <c r="A11" s="109"/>
      <c r="B11" s="109"/>
      <c r="C11" s="113"/>
      <c r="D11" s="109"/>
      <c r="E11" s="109"/>
      <c r="F11" s="112"/>
      <c r="G11" s="113"/>
    </row>
    <row r="12" spans="1:7" ht="14.25" customHeight="1" x14ac:dyDescent="0.25">
      <c r="A12" s="109"/>
      <c r="B12" s="109" t="s">
        <v>99</v>
      </c>
      <c r="C12" s="113"/>
      <c r="D12" s="109"/>
      <c r="E12" s="138">
        <v>0.25</v>
      </c>
      <c r="F12" s="112">
        <v>15.7125</v>
      </c>
      <c r="G12" s="113" t="s">
        <v>98</v>
      </c>
    </row>
    <row r="13" spans="1:7" ht="14.25" customHeight="1" x14ac:dyDescent="0.25">
      <c r="A13" s="109"/>
      <c r="B13" s="109"/>
      <c r="C13" s="113"/>
      <c r="D13" s="109"/>
      <c r="E13" s="109"/>
      <c r="F13" s="112"/>
      <c r="G13" s="113"/>
    </row>
    <row r="14" spans="1:7" ht="14.25" customHeight="1" x14ac:dyDescent="0.25">
      <c r="A14" s="109"/>
      <c r="B14" s="109" t="s">
        <v>100</v>
      </c>
      <c r="C14" s="113"/>
      <c r="D14" s="109"/>
      <c r="E14" s="138">
        <v>0.1</v>
      </c>
      <c r="F14" s="112">
        <v>6.2850000000000001</v>
      </c>
      <c r="G14" s="113"/>
    </row>
    <row r="15" spans="1:7" ht="14.25" customHeight="1" x14ac:dyDescent="0.25">
      <c r="A15" s="109"/>
      <c r="B15" s="109"/>
      <c r="C15" s="113"/>
      <c r="D15" s="109"/>
      <c r="E15" s="109"/>
      <c r="F15" s="112"/>
      <c r="G15" s="113"/>
    </row>
    <row r="16" spans="1:7" ht="14.25" customHeight="1" x14ac:dyDescent="0.25">
      <c r="A16" s="109"/>
      <c r="B16" s="109" t="s">
        <v>101</v>
      </c>
      <c r="C16" s="113"/>
      <c r="D16" s="109"/>
      <c r="E16" s="138">
        <v>0.4</v>
      </c>
      <c r="F16" s="112">
        <v>25.14</v>
      </c>
      <c r="G16" s="113" t="s">
        <v>98</v>
      </c>
    </row>
    <row r="17" spans="1:7" ht="14.25" customHeight="1" x14ac:dyDescent="0.25">
      <c r="A17" s="109"/>
      <c r="B17" s="109"/>
      <c r="C17" s="113"/>
      <c r="D17" s="109"/>
      <c r="E17" s="138"/>
      <c r="F17" s="112"/>
      <c r="G17" s="113"/>
    </row>
    <row r="18" spans="1:7" ht="14.25" customHeight="1" x14ac:dyDescent="0.25">
      <c r="A18" s="109"/>
      <c r="B18" s="109" t="s">
        <v>102</v>
      </c>
      <c r="C18" s="113"/>
      <c r="D18" s="109"/>
      <c r="E18" s="109"/>
      <c r="F18" s="112">
        <v>60</v>
      </c>
      <c r="G18" s="113" t="s">
        <v>103</v>
      </c>
    </row>
    <row r="19" spans="1:7" ht="14.25" customHeight="1" x14ac:dyDescent="0.25">
      <c r="A19" s="109"/>
      <c r="B19" s="109"/>
      <c r="C19" s="113"/>
      <c r="D19" s="109"/>
      <c r="E19" s="109"/>
      <c r="F19" s="112"/>
      <c r="G19" s="109"/>
    </row>
    <row r="20" spans="1:7" ht="14.25" customHeight="1" x14ac:dyDescent="0.25">
      <c r="A20" s="117">
        <v>1</v>
      </c>
      <c r="B20" s="118" t="s">
        <v>104</v>
      </c>
      <c r="C20" s="117"/>
      <c r="D20" s="118"/>
      <c r="E20" s="118"/>
      <c r="F20" s="121">
        <v>109.9875</v>
      </c>
      <c r="G20" s="117" t="s">
        <v>98</v>
      </c>
    </row>
    <row r="21" spans="1:7" ht="14.25" customHeight="1" x14ac:dyDescent="0.25">
      <c r="A21" s="113"/>
      <c r="B21" s="109"/>
      <c r="C21" s="113"/>
      <c r="D21" s="109"/>
      <c r="E21" s="109"/>
      <c r="F21" s="112"/>
      <c r="G21" s="113"/>
    </row>
    <row r="22" spans="1:7" ht="14.25" customHeight="1" x14ac:dyDescent="0.25">
      <c r="A22" s="117">
        <v>2</v>
      </c>
      <c r="B22" s="118" t="s">
        <v>164</v>
      </c>
      <c r="C22" s="117"/>
      <c r="D22" s="118"/>
      <c r="E22" s="139">
        <v>0.30199999999999999</v>
      </c>
      <c r="F22" s="121">
        <v>33.216225000000001</v>
      </c>
      <c r="G22" s="117" t="s">
        <v>98</v>
      </c>
    </row>
    <row r="23" spans="1:7" ht="14.25" customHeight="1" x14ac:dyDescent="0.25">
      <c r="A23" s="113"/>
      <c r="B23" s="109"/>
      <c r="C23" s="113"/>
      <c r="D23" s="109"/>
      <c r="E23" s="138"/>
      <c r="F23" s="112"/>
      <c r="G23" s="113"/>
    </row>
    <row r="24" spans="1:7" ht="14.25" customHeight="1" x14ac:dyDescent="0.25">
      <c r="A24" s="117">
        <v>3</v>
      </c>
      <c r="B24" s="118" t="s">
        <v>106</v>
      </c>
      <c r="C24" s="117"/>
      <c r="D24" s="118"/>
      <c r="E24" s="139"/>
      <c r="F24" s="121">
        <v>13.917836332922711</v>
      </c>
      <c r="G24" s="117" t="s">
        <v>98</v>
      </c>
    </row>
    <row r="25" spans="1:7" ht="14.25" customHeight="1" x14ac:dyDescent="0.25">
      <c r="A25" s="113"/>
      <c r="B25" s="109"/>
      <c r="C25" s="113"/>
      <c r="D25" s="109"/>
      <c r="E25" s="138"/>
      <c r="F25" s="112"/>
      <c r="G25" s="113"/>
    </row>
    <row r="26" spans="1:7" ht="14.25" customHeight="1" x14ac:dyDescent="0.25">
      <c r="A26" s="117">
        <v>4</v>
      </c>
      <c r="B26" s="118" t="s">
        <v>108</v>
      </c>
      <c r="C26" s="117"/>
      <c r="D26" s="118"/>
      <c r="E26" s="139"/>
      <c r="F26" s="121">
        <v>38.177894705575767</v>
      </c>
      <c r="G26" s="117" t="s">
        <v>98</v>
      </c>
    </row>
    <row r="27" spans="1:7" ht="14.25" customHeight="1" x14ac:dyDescent="0.25">
      <c r="A27" s="113"/>
      <c r="B27" s="109"/>
      <c r="C27" s="113"/>
      <c r="D27" s="109"/>
      <c r="E27" s="138"/>
      <c r="F27" s="112"/>
      <c r="G27" s="113"/>
    </row>
    <row r="28" spans="1:7" ht="14.25" customHeight="1" x14ac:dyDescent="0.25">
      <c r="A28" s="117">
        <v>5</v>
      </c>
      <c r="B28" s="118" t="s">
        <v>109</v>
      </c>
      <c r="C28" s="115" t="s">
        <v>165</v>
      </c>
      <c r="D28" s="118"/>
      <c r="E28" s="118"/>
      <c r="F28" s="112">
        <v>11.1</v>
      </c>
      <c r="G28" s="113" t="s">
        <v>111</v>
      </c>
    </row>
    <row r="29" spans="1:7" ht="14.25" customHeight="1" x14ac:dyDescent="0.25">
      <c r="A29" s="113"/>
      <c r="B29" s="109"/>
      <c r="C29" s="140">
        <v>11.1</v>
      </c>
      <c r="D29" s="109"/>
      <c r="E29" s="109">
        <v>36.67</v>
      </c>
      <c r="F29" s="126">
        <v>407.03699999999998</v>
      </c>
      <c r="G29" s="117" t="s">
        <v>98</v>
      </c>
    </row>
    <row r="30" spans="1:7" ht="14.25" customHeight="1" x14ac:dyDescent="0.25">
      <c r="A30" s="113"/>
      <c r="B30" s="109"/>
      <c r="C30" s="113"/>
      <c r="D30" s="109"/>
      <c r="E30" s="138"/>
      <c r="F30" s="112"/>
      <c r="G30" s="113"/>
    </row>
    <row r="31" spans="1:7" ht="14.25" customHeight="1" x14ac:dyDescent="0.25">
      <c r="A31" s="113">
        <v>6</v>
      </c>
      <c r="B31" s="109" t="s">
        <v>112</v>
      </c>
      <c r="C31" s="141"/>
      <c r="D31" s="109"/>
      <c r="E31" s="109"/>
      <c r="F31" s="112"/>
      <c r="G31" s="113"/>
    </row>
    <row r="32" spans="1:7" ht="14.25" customHeight="1" x14ac:dyDescent="0.25">
      <c r="A32" s="113"/>
      <c r="B32" s="109" t="s">
        <v>113</v>
      </c>
      <c r="C32" s="142">
        <v>2.1000000000000001E-2</v>
      </c>
      <c r="D32" s="143" t="s">
        <v>166</v>
      </c>
      <c r="E32" s="144">
        <v>186.99</v>
      </c>
      <c r="F32" s="112">
        <v>43.587369000000002</v>
      </c>
      <c r="G32" s="113" t="s">
        <v>98</v>
      </c>
    </row>
    <row r="33" spans="1:7" ht="14.25" customHeight="1" x14ac:dyDescent="0.25">
      <c r="A33" s="113"/>
      <c r="B33" s="109" t="s">
        <v>115</v>
      </c>
      <c r="C33" s="142">
        <v>3.0000000000000001E-3</v>
      </c>
      <c r="D33" s="145" t="s">
        <v>166</v>
      </c>
      <c r="E33" s="144">
        <v>107.82</v>
      </c>
      <c r="F33" s="112">
        <v>3.5904059999999993</v>
      </c>
      <c r="G33" s="113" t="s">
        <v>98</v>
      </c>
    </row>
    <row r="34" spans="1:7" ht="14.25" customHeight="1" x14ac:dyDescent="0.25">
      <c r="A34" s="113"/>
      <c r="B34" s="109" t="s">
        <v>117</v>
      </c>
      <c r="C34" s="142">
        <v>1E-3</v>
      </c>
      <c r="D34" s="145" t="s">
        <v>166</v>
      </c>
      <c r="E34" s="144">
        <v>75.260000000000005</v>
      </c>
      <c r="F34" s="112">
        <v>0.83538600000000007</v>
      </c>
      <c r="G34" s="113" t="s">
        <v>98</v>
      </c>
    </row>
    <row r="35" spans="1:7" ht="14.25" customHeight="1" x14ac:dyDescent="0.25">
      <c r="A35" s="113"/>
      <c r="B35" s="109" t="s">
        <v>118</v>
      </c>
      <c r="C35" s="146">
        <v>2.5000000000000001E-3</v>
      </c>
      <c r="D35" s="147" t="s">
        <v>166</v>
      </c>
      <c r="E35" s="144">
        <v>132.04</v>
      </c>
      <c r="F35" s="112">
        <v>3.66411</v>
      </c>
      <c r="G35" s="113" t="s">
        <v>98</v>
      </c>
    </row>
    <row r="36" spans="1:7" ht="14.25" customHeight="1" x14ac:dyDescent="0.25">
      <c r="A36" s="113"/>
      <c r="B36" s="109" t="s">
        <v>119</v>
      </c>
      <c r="C36" s="113"/>
      <c r="D36" s="138"/>
      <c r="E36" s="148"/>
      <c r="F36" s="121">
        <v>51.677271000000005</v>
      </c>
      <c r="G36" s="117" t="s">
        <v>98</v>
      </c>
    </row>
    <row r="37" spans="1:7" ht="14.25" customHeight="1" x14ac:dyDescent="0.25">
      <c r="A37" s="113"/>
      <c r="B37" s="109"/>
      <c r="C37" s="113"/>
      <c r="D37" s="109"/>
      <c r="E37" s="138"/>
      <c r="F37" s="112"/>
      <c r="G37" s="113"/>
    </row>
    <row r="38" spans="1:7" ht="14.25" customHeight="1" x14ac:dyDescent="0.25">
      <c r="A38" s="117">
        <v>7</v>
      </c>
      <c r="B38" s="118" t="s">
        <v>120</v>
      </c>
      <c r="C38" s="117"/>
      <c r="D38" s="118"/>
      <c r="E38" s="122">
        <v>0.6</v>
      </c>
      <c r="F38" s="121">
        <v>65.992499999999993</v>
      </c>
      <c r="G38" s="117" t="s">
        <v>98</v>
      </c>
    </row>
    <row r="39" spans="1:7" ht="14.25" customHeight="1" x14ac:dyDescent="0.25">
      <c r="A39" s="113"/>
      <c r="B39" s="109"/>
      <c r="C39" s="113"/>
      <c r="D39" s="109"/>
      <c r="E39" s="138"/>
      <c r="F39" s="112"/>
      <c r="G39" s="113"/>
    </row>
    <row r="40" spans="1:7" ht="14.25" customHeight="1" x14ac:dyDescent="0.25">
      <c r="A40" s="117">
        <v>8</v>
      </c>
      <c r="B40" s="118" t="s">
        <v>121</v>
      </c>
      <c r="C40" s="117"/>
      <c r="D40" s="118"/>
      <c r="E40" s="139"/>
      <c r="F40" s="121">
        <v>720.00622703849842</v>
      </c>
      <c r="G40" s="117" t="s">
        <v>98</v>
      </c>
    </row>
    <row r="41" spans="1:7" ht="14.25" customHeight="1" x14ac:dyDescent="0.25">
      <c r="A41" s="117"/>
      <c r="B41" s="118"/>
      <c r="C41" s="117"/>
      <c r="D41" s="118"/>
      <c r="E41" s="139"/>
      <c r="F41" s="121"/>
      <c r="G41" s="117"/>
    </row>
    <row r="42" spans="1:7" ht="14.25" customHeight="1" x14ac:dyDescent="0.25">
      <c r="A42" s="117">
        <v>9</v>
      </c>
      <c r="B42" s="118" t="s">
        <v>122</v>
      </c>
      <c r="C42" s="117"/>
      <c r="D42" s="118"/>
      <c r="E42" s="139"/>
      <c r="F42" s="121"/>
      <c r="G42" s="117"/>
    </row>
    <row r="43" spans="1:7" ht="14.25" customHeight="1" x14ac:dyDescent="0.25">
      <c r="A43" s="113"/>
      <c r="B43" s="109" t="s">
        <v>123</v>
      </c>
      <c r="C43" s="113"/>
      <c r="D43" s="109"/>
      <c r="E43" s="138">
        <v>0.1</v>
      </c>
      <c r="F43" s="112">
        <v>72.000622703849842</v>
      </c>
      <c r="G43" s="113" t="s">
        <v>98</v>
      </c>
    </row>
    <row r="44" spans="1:7" ht="14.25" customHeight="1" x14ac:dyDescent="0.25">
      <c r="A44" s="113"/>
      <c r="B44" s="109" t="s">
        <v>124</v>
      </c>
      <c r="C44" s="113"/>
      <c r="D44" s="109"/>
      <c r="E44" s="138">
        <v>0.15</v>
      </c>
      <c r="F44" s="112">
        <v>108.00093405577476</v>
      </c>
      <c r="G44" s="113" t="s">
        <v>98</v>
      </c>
    </row>
    <row r="45" spans="1:7" ht="14.25" customHeight="1" x14ac:dyDescent="0.25">
      <c r="A45" s="113"/>
      <c r="B45" s="109"/>
      <c r="C45" s="113"/>
      <c r="D45" s="109"/>
      <c r="E45" s="138"/>
      <c r="F45" s="112"/>
      <c r="G45" s="113"/>
    </row>
    <row r="46" spans="1:7" ht="14.25" customHeight="1" x14ac:dyDescent="0.25">
      <c r="A46" s="117">
        <v>10</v>
      </c>
      <c r="B46" s="118" t="s">
        <v>125</v>
      </c>
      <c r="C46" s="117"/>
      <c r="D46" s="118"/>
      <c r="E46" s="139"/>
      <c r="F46" s="121"/>
      <c r="G46" s="117"/>
    </row>
    <row r="47" spans="1:7" ht="14.25" customHeight="1" x14ac:dyDescent="0.25">
      <c r="A47" s="113"/>
      <c r="B47" s="109" t="s">
        <v>123</v>
      </c>
      <c r="C47" s="113"/>
      <c r="D47" s="109"/>
      <c r="E47" s="138"/>
      <c r="F47" s="121">
        <v>792.00684974234832</v>
      </c>
      <c r="G47" s="117" t="s">
        <v>98</v>
      </c>
    </row>
    <row r="48" spans="1:7" ht="14.25" customHeight="1" x14ac:dyDescent="0.25">
      <c r="A48" s="113"/>
      <c r="B48" s="109" t="s">
        <v>124</v>
      </c>
      <c r="C48" s="113"/>
      <c r="D48" s="109"/>
      <c r="E48" s="138"/>
      <c r="F48" s="121">
        <v>828.00716109427321</v>
      </c>
      <c r="G48" s="117" t="s">
        <v>98</v>
      </c>
    </row>
    <row r="49" spans="1:7" ht="14.25" customHeight="1" x14ac:dyDescent="0.25">
      <c r="A49" s="104"/>
      <c r="B49" s="104"/>
      <c r="C49" s="135"/>
      <c r="D49" s="104"/>
      <c r="E49" s="104"/>
      <c r="F49" s="108"/>
      <c r="G49" s="104"/>
    </row>
    <row r="50" spans="1:7" ht="14.25" customHeight="1" x14ac:dyDescent="0.25">
      <c r="A50" s="104"/>
      <c r="B50" s="104"/>
      <c r="C50" s="135"/>
      <c r="D50" s="104"/>
      <c r="E50" s="104"/>
      <c r="F50" s="108"/>
      <c r="G50" s="104"/>
    </row>
    <row r="51" spans="1:7" ht="14.25" customHeight="1" x14ac:dyDescent="0.25">
      <c r="A51" s="31"/>
      <c r="B51" s="83" t="s">
        <v>55</v>
      </c>
      <c r="C51" s="83"/>
      <c r="D51" s="83"/>
      <c r="E51" s="31"/>
      <c r="F51" s="62" t="s">
        <v>57</v>
      </c>
      <c r="G51" s="31"/>
    </row>
    <row r="52" spans="1:7" ht="14.25" customHeight="1" x14ac:dyDescent="0.25">
      <c r="A52" s="31"/>
      <c r="B52" s="84" t="s">
        <v>56</v>
      </c>
      <c r="C52" s="83"/>
      <c r="D52" s="83"/>
      <c r="E52" s="31"/>
      <c r="F52" s="42"/>
      <c r="G52" s="31"/>
    </row>
  </sheetData>
  <mergeCells count="5">
    <mergeCell ref="A6:G6"/>
    <mergeCell ref="A7:G7"/>
    <mergeCell ref="A8:A9"/>
    <mergeCell ref="B8:E9"/>
    <mergeCell ref="F8:G8"/>
  </mergeCells>
  <pageMargins left="0.25" right="0.25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31"/>
  <sheetViews>
    <sheetView workbookViewId="0">
      <selection activeCell="F13" sqref="F13"/>
    </sheetView>
  </sheetViews>
  <sheetFormatPr defaultRowHeight="15" x14ac:dyDescent="0.25"/>
  <cols>
    <col min="1" max="1" width="22.28515625" customWidth="1"/>
    <col min="2" max="2" width="10.28515625" customWidth="1"/>
    <col min="3" max="3" width="9.5703125" customWidth="1"/>
    <col min="4" max="4" width="10.42578125" customWidth="1"/>
    <col min="5" max="5" width="11" customWidth="1"/>
    <col min="6" max="6" width="12.5703125" customWidth="1"/>
    <col min="7" max="7" width="8.5703125" customWidth="1"/>
  </cols>
  <sheetData>
    <row r="1" spans="1:7" x14ac:dyDescent="0.25">
      <c r="A1" s="320" t="s">
        <v>167</v>
      </c>
      <c r="B1" s="320"/>
      <c r="C1" s="320"/>
      <c r="D1" s="320"/>
      <c r="E1" s="320"/>
      <c r="F1" s="320"/>
      <c r="G1" s="320"/>
    </row>
    <row r="2" spans="1:7" x14ac:dyDescent="0.25">
      <c r="A2" s="319" t="s">
        <v>130</v>
      </c>
      <c r="B2" s="319"/>
      <c r="C2" s="319"/>
      <c r="D2" s="319"/>
      <c r="E2" s="319"/>
      <c r="F2" s="319"/>
      <c r="G2" s="3"/>
    </row>
    <row r="3" spans="1:7" x14ac:dyDescent="0.25">
      <c r="A3" s="87"/>
      <c r="B3" s="5">
        <f>'План. расчет времени'!F24</f>
        <v>2233.7054526998695</v>
      </c>
      <c r="C3" s="3" t="s">
        <v>131</v>
      </c>
      <c r="D3" s="3"/>
      <c r="E3" s="3"/>
      <c r="F3" s="3"/>
      <c r="G3" s="3"/>
    </row>
    <row r="4" spans="1:7" x14ac:dyDescent="0.25">
      <c r="A4" s="319" t="s">
        <v>132</v>
      </c>
      <c r="B4" s="319"/>
      <c r="C4" s="319"/>
      <c r="D4" s="319"/>
      <c r="E4" s="319"/>
      <c r="F4" s="319"/>
      <c r="G4" s="86"/>
    </row>
    <row r="5" spans="1:7" x14ac:dyDescent="0.25">
      <c r="A5" s="3"/>
      <c r="B5" s="3">
        <v>40</v>
      </c>
      <c r="C5" s="3" t="s">
        <v>131</v>
      </c>
      <c r="D5" s="3"/>
      <c r="E5" s="3"/>
      <c r="F5" s="3"/>
      <c r="G5" s="86"/>
    </row>
    <row r="6" spans="1:7" x14ac:dyDescent="0.25">
      <c r="A6" s="319" t="s">
        <v>168</v>
      </c>
      <c r="B6" s="319"/>
      <c r="C6" s="319"/>
      <c r="D6" s="319"/>
      <c r="E6" s="319"/>
      <c r="F6" s="319"/>
      <c r="G6" s="319"/>
    </row>
    <row r="7" spans="1:7" x14ac:dyDescent="0.25">
      <c r="A7" s="3"/>
      <c r="B7" s="3">
        <v>40</v>
      </c>
      <c r="C7" s="3" t="s">
        <v>131</v>
      </c>
      <c r="D7" s="87"/>
      <c r="E7" s="87"/>
      <c r="F7" s="3"/>
      <c r="G7" s="3"/>
    </row>
    <row r="8" spans="1:7" x14ac:dyDescent="0.25">
      <c r="A8" s="86"/>
      <c r="B8" s="86"/>
      <c r="C8" s="86"/>
      <c r="D8" s="3"/>
      <c r="E8" s="3"/>
      <c r="F8" s="3"/>
      <c r="G8" s="3"/>
    </row>
    <row r="9" spans="1:7" x14ac:dyDescent="0.25">
      <c r="A9" s="406" t="s">
        <v>136</v>
      </c>
      <c r="B9" s="406"/>
      <c r="C9" s="406"/>
      <c r="D9" s="149">
        <f>B3-B5-B7</f>
        <v>2153.7054526998695</v>
      </c>
      <c r="E9" s="150" t="s">
        <v>131</v>
      </c>
      <c r="F9" s="150"/>
      <c r="G9" s="9"/>
    </row>
    <row r="10" spans="1:7" x14ac:dyDescent="0.25">
      <c r="A10" s="86"/>
      <c r="B10" s="86"/>
      <c r="C10" s="86"/>
      <c r="D10" s="86"/>
      <c r="E10" s="86"/>
      <c r="F10" s="86"/>
      <c r="G10" s="86"/>
    </row>
    <row r="11" spans="1:7" x14ac:dyDescent="0.25">
      <c r="A11" s="319" t="s">
        <v>169</v>
      </c>
      <c r="B11" s="319"/>
      <c r="C11" s="3">
        <v>29974.92</v>
      </c>
      <c r="D11" s="3" t="s">
        <v>98</v>
      </c>
      <c r="E11" s="3"/>
      <c r="F11" s="86"/>
      <c r="G11" s="86"/>
    </row>
    <row r="12" spans="1:7" x14ac:dyDescent="0.25">
      <c r="A12" s="86"/>
      <c r="B12" s="86"/>
      <c r="C12" s="86"/>
      <c r="D12" s="86"/>
      <c r="E12" s="86"/>
      <c r="F12" s="86"/>
      <c r="G12" s="86"/>
    </row>
    <row r="13" spans="1:7" x14ac:dyDescent="0.25">
      <c r="A13" s="319" t="s">
        <v>170</v>
      </c>
      <c r="B13" s="319"/>
      <c r="C13" s="319"/>
      <c r="D13" s="319"/>
      <c r="E13" s="319"/>
      <c r="F13" s="298">
        <f>'[1]УАЗ-390944'!$F$32</f>
        <v>82223.94</v>
      </c>
      <c r="G13" s="3" t="s">
        <v>98</v>
      </c>
    </row>
    <row r="14" spans="1:7" x14ac:dyDescent="0.25">
      <c r="A14" s="86"/>
      <c r="B14" s="86"/>
      <c r="C14" s="3"/>
      <c r="D14" s="3"/>
      <c r="E14" s="3"/>
      <c r="F14" s="87"/>
      <c r="G14" s="87"/>
    </row>
    <row r="15" spans="1:7" ht="15.75" thickBot="1" x14ac:dyDescent="0.3">
      <c r="A15" s="378" t="s">
        <v>138</v>
      </c>
      <c r="B15" s="376" t="s">
        <v>139</v>
      </c>
      <c r="C15" s="376"/>
      <c r="D15" s="376"/>
      <c r="E15" s="3"/>
      <c r="F15" s="87"/>
      <c r="G15" s="87"/>
    </row>
    <row r="16" spans="1:7" x14ac:dyDescent="0.25">
      <c r="A16" s="378"/>
      <c r="B16" s="377" t="s">
        <v>140</v>
      </c>
      <c r="C16" s="377"/>
      <c r="D16" s="377"/>
      <c r="E16" s="3"/>
      <c r="F16" s="87"/>
      <c r="G16" s="87"/>
    </row>
    <row r="17" spans="1:7" x14ac:dyDescent="0.25">
      <c r="A17" s="90"/>
      <c r="B17" s="91"/>
      <c r="C17" s="91"/>
      <c r="D17" s="91"/>
      <c r="E17" s="3"/>
      <c r="F17" s="87"/>
      <c r="G17" s="87"/>
    </row>
    <row r="18" spans="1:7" ht="15.75" thickBot="1" x14ac:dyDescent="0.3">
      <c r="A18" s="375" t="s">
        <v>141</v>
      </c>
      <c r="B18" s="375"/>
      <c r="C18" s="376" t="s">
        <v>142</v>
      </c>
      <c r="D18" s="376"/>
      <c r="E18" s="376"/>
      <c r="F18" s="87"/>
      <c r="G18" s="87"/>
    </row>
    <row r="19" spans="1:7" x14ac:dyDescent="0.25">
      <c r="A19" s="375"/>
      <c r="B19" s="375"/>
      <c r="C19" s="377" t="s">
        <v>140</v>
      </c>
      <c r="D19" s="377"/>
      <c r="E19" s="377"/>
      <c r="F19" s="87"/>
      <c r="G19" s="87"/>
    </row>
    <row r="20" spans="1:7" x14ac:dyDescent="0.25">
      <c r="A20" s="9"/>
      <c r="B20" s="9"/>
      <c r="C20" s="92"/>
      <c r="D20" s="92"/>
      <c r="E20" s="92"/>
      <c r="F20" s="87"/>
      <c r="G20" s="87"/>
    </row>
    <row r="21" spans="1:7" x14ac:dyDescent="0.25">
      <c r="A21" s="9"/>
      <c r="B21" s="9"/>
      <c r="C21" s="92"/>
      <c r="D21" s="92"/>
      <c r="E21" s="323" t="s">
        <v>12</v>
      </c>
      <c r="F21" s="323"/>
      <c r="G21" s="87"/>
    </row>
    <row r="22" spans="1:7" x14ac:dyDescent="0.25">
      <c r="A22" s="324" t="s">
        <v>143</v>
      </c>
      <c r="B22" s="324"/>
      <c r="C22" s="324"/>
      <c r="D22" s="324"/>
      <c r="E22" s="324"/>
      <c r="F22" s="324"/>
      <c r="G22" s="87"/>
    </row>
    <row r="23" spans="1:7" x14ac:dyDescent="0.25">
      <c r="A23" s="380" t="s">
        <v>144</v>
      </c>
      <c r="B23" s="382" t="s">
        <v>15</v>
      </c>
      <c r="C23" s="383"/>
      <c r="D23" s="383"/>
      <c r="E23" s="384" t="s">
        <v>145</v>
      </c>
      <c r="F23" s="384"/>
      <c r="G23" s="93"/>
    </row>
    <row r="24" spans="1:7" ht="45" x14ac:dyDescent="0.25">
      <c r="A24" s="381"/>
      <c r="B24" s="94" t="s">
        <v>146</v>
      </c>
      <c r="C24" s="94" t="s">
        <v>147</v>
      </c>
      <c r="D24" s="95" t="s">
        <v>148</v>
      </c>
      <c r="E24" s="94" t="s">
        <v>149</v>
      </c>
      <c r="F24" s="94" t="s">
        <v>150</v>
      </c>
      <c r="G24" s="96"/>
    </row>
    <row r="25" spans="1:7" x14ac:dyDescent="0.25">
      <c r="A25" s="97" t="s">
        <v>171</v>
      </c>
      <c r="B25" s="98">
        <f>C11</f>
        <v>29974.92</v>
      </c>
      <c r="C25" s="99">
        <f>F13</f>
        <v>82223.94</v>
      </c>
      <c r="D25" s="100">
        <f>D9</f>
        <v>2153.7054526998695</v>
      </c>
      <c r="E25" s="99">
        <f>B25/D25</f>
        <v>13.917836332922711</v>
      </c>
      <c r="F25" s="98">
        <f>C25/D25</f>
        <v>38.177894705575767</v>
      </c>
      <c r="G25" s="12"/>
    </row>
    <row r="26" spans="1:7" x14ac:dyDescent="0.25">
      <c r="A26" s="87"/>
      <c r="B26" s="87"/>
      <c r="C26" s="87"/>
      <c r="D26" s="87"/>
      <c r="E26" s="87"/>
      <c r="F26" s="87"/>
      <c r="G26" s="87"/>
    </row>
    <row r="27" spans="1:7" x14ac:dyDescent="0.25">
      <c r="A27" s="87"/>
      <c r="B27" s="87"/>
      <c r="C27" s="87"/>
      <c r="D27" s="87"/>
      <c r="E27" s="87"/>
      <c r="F27" s="87"/>
      <c r="G27" s="87"/>
    </row>
    <row r="28" spans="1:7" x14ac:dyDescent="0.25">
      <c r="A28" s="87"/>
      <c r="B28" s="87"/>
      <c r="C28" s="87"/>
      <c r="D28" s="87"/>
      <c r="E28" s="87"/>
      <c r="F28" s="87"/>
      <c r="G28" s="87"/>
    </row>
    <row r="29" spans="1:7" x14ac:dyDescent="0.25">
      <c r="A29" s="87"/>
      <c r="B29" s="87"/>
      <c r="C29" s="87"/>
      <c r="D29" s="87"/>
      <c r="E29" s="87"/>
      <c r="F29" s="87"/>
      <c r="G29" s="87"/>
    </row>
    <row r="30" spans="1:7" ht="15.75" x14ac:dyDescent="0.25">
      <c r="A30" s="385" t="s">
        <v>55</v>
      </c>
      <c r="B30" s="385"/>
      <c r="C30" s="385"/>
      <c r="D30" s="31"/>
      <c r="E30" s="343" t="s">
        <v>57</v>
      </c>
      <c r="F30" s="343"/>
      <c r="G30" s="343"/>
    </row>
    <row r="31" spans="1:7" ht="15.75" x14ac:dyDescent="0.25">
      <c r="A31" s="379" t="s">
        <v>56</v>
      </c>
      <c r="B31" s="379"/>
      <c r="C31" s="379"/>
      <c r="D31" s="31"/>
      <c r="E31" s="31"/>
      <c r="F31" s="84"/>
      <c r="G31" s="31"/>
    </row>
  </sheetData>
  <mergeCells count="21">
    <mergeCell ref="A31:C31"/>
    <mergeCell ref="E21:F21"/>
    <mergeCell ref="A22:F22"/>
    <mergeCell ref="A23:A24"/>
    <mergeCell ref="B23:D23"/>
    <mergeCell ref="E23:F23"/>
    <mergeCell ref="A30:C30"/>
    <mergeCell ref="E30:G30"/>
    <mergeCell ref="A13:E13"/>
    <mergeCell ref="A15:A16"/>
    <mergeCell ref="B15:D15"/>
    <mergeCell ref="B16:D16"/>
    <mergeCell ref="A18:B19"/>
    <mergeCell ref="C18:E18"/>
    <mergeCell ref="C19:E19"/>
    <mergeCell ref="A11:B11"/>
    <mergeCell ref="A1:G1"/>
    <mergeCell ref="A2:F2"/>
    <mergeCell ref="A4:F4"/>
    <mergeCell ref="A6:G6"/>
    <mergeCell ref="A9:C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-0.249977111117893"/>
  </sheetPr>
  <dimension ref="A1:G53"/>
  <sheetViews>
    <sheetView workbookViewId="0">
      <selection activeCell="C10" sqref="C10:F49"/>
    </sheetView>
  </sheetViews>
  <sheetFormatPr defaultRowHeight="15" x14ac:dyDescent="0.25"/>
  <cols>
    <col min="1" max="1" width="4.42578125" customWidth="1"/>
    <col min="2" max="2" width="29.85546875" customWidth="1"/>
    <col min="3" max="3" width="7.7109375" customWidth="1"/>
    <col min="4" max="4" width="12.28515625" customWidth="1"/>
    <col min="5" max="5" width="10" customWidth="1"/>
    <col min="6" max="6" width="17.28515625" customWidth="1"/>
    <col min="7" max="7" width="12.7109375" customWidth="1"/>
  </cols>
  <sheetData>
    <row r="1" spans="1:7" ht="14.25" customHeight="1" x14ac:dyDescent="0.25">
      <c r="A1" s="31"/>
      <c r="B1" s="31"/>
      <c r="C1" s="290"/>
      <c r="D1" s="290"/>
      <c r="E1" s="63"/>
      <c r="F1" s="63"/>
      <c r="G1" s="64" t="s">
        <v>59</v>
      </c>
    </row>
    <row r="2" spans="1:7" ht="14.25" customHeight="1" x14ac:dyDescent="0.25">
      <c r="A2" s="31"/>
      <c r="B2" s="31"/>
      <c r="C2" s="290"/>
      <c r="D2" s="290"/>
      <c r="E2" s="63"/>
      <c r="F2" s="63"/>
      <c r="G2" s="64" t="s">
        <v>60</v>
      </c>
    </row>
    <row r="3" spans="1:7" ht="14.25" customHeight="1" x14ac:dyDescent="0.25">
      <c r="A3" s="31"/>
      <c r="B3" s="31"/>
      <c r="C3" s="290"/>
      <c r="D3" s="290"/>
      <c r="E3" s="63"/>
      <c r="F3" s="63"/>
      <c r="G3" s="64" t="s">
        <v>388</v>
      </c>
    </row>
    <row r="4" spans="1:7" ht="14.25" customHeight="1" x14ac:dyDescent="0.25">
      <c r="A4" s="31"/>
      <c r="B4" s="31"/>
      <c r="C4" s="290"/>
      <c r="D4" s="290"/>
      <c r="E4" s="63"/>
      <c r="F4" s="63"/>
      <c r="G4" s="64" t="s">
        <v>389</v>
      </c>
    </row>
    <row r="5" spans="1:7" ht="14.25" customHeight="1" x14ac:dyDescent="0.25">
      <c r="A5" s="31"/>
      <c r="B5" s="31"/>
      <c r="C5" s="290"/>
      <c r="D5" s="290"/>
      <c r="E5" s="31"/>
      <c r="F5" s="42"/>
      <c r="G5" s="31"/>
    </row>
    <row r="6" spans="1:7" ht="14.25" customHeight="1" x14ac:dyDescent="0.25">
      <c r="A6" s="396" t="s">
        <v>93</v>
      </c>
      <c r="B6" s="396"/>
      <c r="C6" s="396"/>
      <c r="D6" s="396"/>
      <c r="E6" s="396"/>
      <c r="F6" s="396"/>
      <c r="G6" s="396"/>
    </row>
    <row r="7" spans="1:7" ht="14.25" customHeight="1" x14ac:dyDescent="0.25">
      <c r="A7" s="396" t="s">
        <v>172</v>
      </c>
      <c r="B7" s="396"/>
      <c r="C7" s="396"/>
      <c r="D7" s="396"/>
      <c r="E7" s="396"/>
      <c r="F7" s="396"/>
      <c r="G7" s="396"/>
    </row>
    <row r="8" spans="1:7" ht="14.25" customHeight="1" x14ac:dyDescent="0.25">
      <c r="A8" s="353" t="s">
        <v>13</v>
      </c>
      <c r="B8" s="390" t="s">
        <v>95</v>
      </c>
      <c r="C8" s="391"/>
      <c r="D8" s="391"/>
      <c r="E8" s="392"/>
      <c r="F8" s="357" t="s">
        <v>96</v>
      </c>
      <c r="G8" s="357"/>
    </row>
    <row r="9" spans="1:7" ht="14.25" customHeight="1" x14ac:dyDescent="0.25">
      <c r="A9" s="354"/>
      <c r="B9" s="393"/>
      <c r="C9" s="394"/>
      <c r="D9" s="394"/>
      <c r="E9" s="395"/>
      <c r="F9" s="65" t="s">
        <v>97</v>
      </c>
      <c r="G9" s="88" t="s">
        <v>62</v>
      </c>
    </row>
    <row r="10" spans="1:7" ht="14.25" customHeight="1" x14ac:dyDescent="0.25">
      <c r="A10" s="109"/>
      <c r="B10" s="109" t="s">
        <v>153</v>
      </c>
      <c r="C10" s="308"/>
      <c r="D10" s="109"/>
      <c r="E10" s="109"/>
      <c r="F10" s="112">
        <v>62.85</v>
      </c>
      <c r="G10" s="113" t="s">
        <v>98</v>
      </c>
    </row>
    <row r="11" spans="1:7" ht="14.25" customHeight="1" x14ac:dyDescent="0.25">
      <c r="A11" s="109"/>
      <c r="B11" s="109"/>
      <c r="C11" s="308"/>
      <c r="D11" s="109"/>
      <c r="E11" s="109"/>
      <c r="F11" s="112"/>
      <c r="G11" s="113"/>
    </row>
    <row r="12" spans="1:7" ht="14.25" customHeight="1" x14ac:dyDescent="0.25">
      <c r="A12" s="109"/>
      <c r="B12" s="109" t="s">
        <v>99</v>
      </c>
      <c r="C12" s="308"/>
      <c r="D12" s="109"/>
      <c r="E12" s="138">
        <v>0.25</v>
      </c>
      <c r="F12" s="112">
        <v>15.7125</v>
      </c>
      <c r="G12" s="113" t="s">
        <v>98</v>
      </c>
    </row>
    <row r="13" spans="1:7" ht="14.25" customHeight="1" x14ac:dyDescent="0.25">
      <c r="A13" s="109"/>
      <c r="B13" s="109"/>
      <c r="C13" s="308"/>
      <c r="D13" s="109"/>
      <c r="E13" s="138"/>
      <c r="F13" s="112"/>
      <c r="G13" s="113"/>
    </row>
    <row r="14" spans="1:7" ht="14.25" customHeight="1" x14ac:dyDescent="0.25">
      <c r="A14" s="109"/>
      <c r="B14" s="109" t="s">
        <v>100</v>
      </c>
      <c r="C14" s="308"/>
      <c r="D14" s="109"/>
      <c r="E14" s="138">
        <v>0.1</v>
      </c>
      <c r="F14" s="112">
        <v>6.2850000000000001</v>
      </c>
      <c r="G14" s="113" t="s">
        <v>98</v>
      </c>
    </row>
    <row r="15" spans="1:7" ht="14.25" customHeight="1" x14ac:dyDescent="0.25">
      <c r="A15" s="109"/>
      <c r="B15" s="109"/>
      <c r="C15" s="308"/>
      <c r="D15" s="109"/>
      <c r="E15" s="138"/>
      <c r="F15" s="112"/>
      <c r="G15" s="113"/>
    </row>
    <row r="16" spans="1:7" ht="14.25" customHeight="1" x14ac:dyDescent="0.25">
      <c r="A16" s="109"/>
      <c r="B16" s="109"/>
      <c r="C16" s="308"/>
      <c r="D16" s="109"/>
      <c r="E16" s="138"/>
      <c r="F16" s="112"/>
      <c r="G16" s="113"/>
    </row>
    <row r="17" spans="1:7" ht="14.25" customHeight="1" x14ac:dyDescent="0.25">
      <c r="A17" s="109"/>
      <c r="B17" s="109" t="s">
        <v>101</v>
      </c>
      <c r="C17" s="308"/>
      <c r="D17" s="109"/>
      <c r="E17" s="138">
        <v>0.4</v>
      </c>
      <c r="F17" s="112">
        <v>25.14</v>
      </c>
      <c r="G17" s="113" t="s">
        <v>98</v>
      </c>
    </row>
    <row r="18" spans="1:7" ht="14.25" customHeight="1" x14ac:dyDescent="0.25">
      <c r="A18" s="109"/>
      <c r="B18" s="109"/>
      <c r="C18" s="308"/>
      <c r="D18" s="109"/>
      <c r="E18" s="138"/>
      <c r="F18" s="112"/>
      <c r="G18" s="113"/>
    </row>
    <row r="19" spans="1:7" ht="14.25" customHeight="1" x14ac:dyDescent="0.25">
      <c r="A19" s="109"/>
      <c r="B19" s="109" t="s">
        <v>102</v>
      </c>
      <c r="C19" s="308"/>
      <c r="D19" s="109"/>
      <c r="E19" s="109"/>
      <c r="F19" s="112">
        <v>60</v>
      </c>
      <c r="G19" s="113" t="s">
        <v>103</v>
      </c>
    </row>
    <row r="20" spans="1:7" ht="14.25" customHeight="1" x14ac:dyDescent="0.25">
      <c r="A20" s="109"/>
      <c r="B20" s="109"/>
      <c r="C20" s="308"/>
      <c r="D20" s="109"/>
      <c r="E20" s="109"/>
      <c r="F20" s="112"/>
      <c r="G20" s="109"/>
    </row>
    <row r="21" spans="1:7" ht="14.25" customHeight="1" x14ac:dyDescent="0.25">
      <c r="A21" s="117">
        <v>1</v>
      </c>
      <c r="B21" s="118" t="s">
        <v>104</v>
      </c>
      <c r="C21" s="153"/>
      <c r="D21" s="118"/>
      <c r="E21" s="118"/>
      <c r="F21" s="121">
        <v>109.9875</v>
      </c>
      <c r="G21" s="117" t="s">
        <v>98</v>
      </c>
    </row>
    <row r="22" spans="1:7" ht="14.25" customHeight="1" x14ac:dyDescent="0.25">
      <c r="A22" s="113"/>
      <c r="B22" s="109"/>
      <c r="C22" s="308"/>
      <c r="D22" s="109"/>
      <c r="E22" s="109"/>
      <c r="F22" s="112"/>
      <c r="G22" s="113"/>
    </row>
    <row r="23" spans="1:7" ht="14.25" customHeight="1" x14ac:dyDescent="0.25">
      <c r="A23" s="117">
        <v>2</v>
      </c>
      <c r="B23" s="118" t="s">
        <v>105</v>
      </c>
      <c r="C23" s="153"/>
      <c r="D23" s="118"/>
      <c r="E23" s="139">
        <v>0.30199999999999999</v>
      </c>
      <c r="F23" s="121">
        <v>33.216225000000001</v>
      </c>
      <c r="G23" s="117" t="s">
        <v>98</v>
      </c>
    </row>
    <row r="24" spans="1:7" ht="14.25" customHeight="1" x14ac:dyDescent="0.25">
      <c r="A24" s="113"/>
      <c r="B24" s="109"/>
      <c r="C24" s="308"/>
      <c r="D24" s="109"/>
      <c r="E24" s="138"/>
      <c r="F24" s="112"/>
      <c r="G24" s="113"/>
    </row>
    <row r="25" spans="1:7" ht="14.25" customHeight="1" x14ac:dyDescent="0.25">
      <c r="A25" s="117">
        <v>3</v>
      </c>
      <c r="B25" s="118" t="s">
        <v>106</v>
      </c>
      <c r="C25" s="153"/>
      <c r="D25" s="118"/>
      <c r="E25" s="139"/>
      <c r="F25" s="121">
        <v>28.908461232141178</v>
      </c>
      <c r="G25" s="117" t="s">
        <v>98</v>
      </c>
    </row>
    <row r="26" spans="1:7" ht="14.25" customHeight="1" x14ac:dyDescent="0.25">
      <c r="A26" s="113"/>
      <c r="B26" s="109"/>
      <c r="C26" s="308"/>
      <c r="D26" s="109"/>
      <c r="E26" s="138"/>
      <c r="F26" s="112"/>
      <c r="G26" s="113"/>
    </row>
    <row r="27" spans="1:7" ht="14.25" customHeight="1" x14ac:dyDescent="0.25">
      <c r="A27" s="117">
        <v>4</v>
      </c>
      <c r="B27" s="118" t="s">
        <v>108</v>
      </c>
      <c r="C27" s="153"/>
      <c r="D27" s="118"/>
      <c r="E27" s="139"/>
      <c r="F27" s="121">
        <v>31.181732232301137</v>
      </c>
      <c r="G27" s="117" t="s">
        <v>98</v>
      </c>
    </row>
    <row r="28" spans="1:7" ht="14.25" customHeight="1" x14ac:dyDescent="0.25">
      <c r="A28" s="113"/>
      <c r="B28" s="109"/>
      <c r="C28" s="308"/>
      <c r="D28" s="109"/>
      <c r="E28" s="138"/>
      <c r="F28" s="112"/>
      <c r="G28" s="113"/>
    </row>
    <row r="29" spans="1:7" ht="14.25" customHeight="1" x14ac:dyDescent="0.25">
      <c r="A29" s="117">
        <v>5</v>
      </c>
      <c r="B29" s="118" t="s">
        <v>173</v>
      </c>
      <c r="C29" s="407" t="s">
        <v>174</v>
      </c>
      <c r="D29" s="408"/>
      <c r="E29" s="121"/>
      <c r="F29" s="124">
        <v>7.74</v>
      </c>
      <c r="G29" s="113" t="s">
        <v>111</v>
      </c>
    </row>
    <row r="30" spans="1:7" ht="14.25" customHeight="1" x14ac:dyDescent="0.25">
      <c r="A30" s="113"/>
      <c r="B30" s="109"/>
      <c r="C30" s="154">
        <v>7.74</v>
      </c>
      <c r="D30" s="104"/>
      <c r="E30" s="108">
        <v>36.67</v>
      </c>
      <c r="F30" s="126">
        <v>283.82580000000002</v>
      </c>
      <c r="G30" s="117" t="s">
        <v>98</v>
      </c>
    </row>
    <row r="31" spans="1:7" ht="14.25" customHeight="1" x14ac:dyDescent="0.25">
      <c r="A31" s="113"/>
      <c r="B31" s="109"/>
      <c r="C31" s="308"/>
      <c r="D31" s="109"/>
      <c r="E31" s="112"/>
      <c r="F31" s="112"/>
      <c r="G31" s="113"/>
    </row>
    <row r="32" spans="1:7" ht="14.25" customHeight="1" x14ac:dyDescent="0.25">
      <c r="A32" s="117">
        <v>6</v>
      </c>
      <c r="B32" s="118" t="s">
        <v>112</v>
      </c>
      <c r="C32" s="153"/>
      <c r="D32" s="118"/>
      <c r="E32" s="155"/>
      <c r="F32" s="121"/>
      <c r="G32" s="117"/>
    </row>
    <row r="33" spans="1:7" ht="14.25" customHeight="1" x14ac:dyDescent="0.25">
      <c r="A33" s="113"/>
      <c r="B33" s="109" t="s">
        <v>113</v>
      </c>
      <c r="C33" s="156">
        <v>1.7000000000000001E-2</v>
      </c>
      <c r="D33" s="157" t="s">
        <v>116</v>
      </c>
      <c r="E33" s="158">
        <v>186.99</v>
      </c>
      <c r="F33" s="112">
        <v>24.6041442</v>
      </c>
      <c r="G33" s="113" t="s">
        <v>98</v>
      </c>
    </row>
    <row r="34" spans="1:7" ht="14.25" customHeight="1" x14ac:dyDescent="0.25">
      <c r="A34" s="113"/>
      <c r="B34" s="109" t="s">
        <v>115</v>
      </c>
      <c r="C34" s="156">
        <v>1.5E-3</v>
      </c>
      <c r="D34" s="159" t="s">
        <v>116</v>
      </c>
      <c r="E34" s="158">
        <v>107.82</v>
      </c>
      <c r="F34" s="112">
        <v>1.2517902000000001</v>
      </c>
      <c r="G34" s="113" t="s">
        <v>98</v>
      </c>
    </row>
    <row r="35" spans="1:7" ht="14.25" customHeight="1" x14ac:dyDescent="0.25">
      <c r="A35" s="113"/>
      <c r="B35" s="109" t="s">
        <v>117</v>
      </c>
      <c r="C35" s="156">
        <v>5.0000000000000001E-4</v>
      </c>
      <c r="D35" s="159" t="s">
        <v>116</v>
      </c>
      <c r="E35" s="158">
        <v>75.260000000000005</v>
      </c>
      <c r="F35" s="112">
        <v>0.29125620000000002</v>
      </c>
      <c r="G35" s="113" t="s">
        <v>98</v>
      </c>
    </row>
    <row r="36" spans="1:7" ht="14.25" customHeight="1" x14ac:dyDescent="0.25">
      <c r="A36" s="113"/>
      <c r="B36" s="109" t="s">
        <v>118</v>
      </c>
      <c r="C36" s="160">
        <v>1E-3</v>
      </c>
      <c r="D36" s="161" t="s">
        <v>116</v>
      </c>
      <c r="E36" s="158">
        <v>132.04</v>
      </c>
      <c r="F36" s="112">
        <v>1.0219895999999999</v>
      </c>
      <c r="G36" s="113" t="s">
        <v>98</v>
      </c>
    </row>
    <row r="37" spans="1:7" ht="14.25" customHeight="1" x14ac:dyDescent="0.25">
      <c r="A37" s="113"/>
      <c r="B37" s="109" t="s">
        <v>119</v>
      </c>
      <c r="C37" s="153"/>
      <c r="D37" s="162"/>
      <c r="E37" s="121"/>
      <c r="F37" s="121">
        <v>27.1691802</v>
      </c>
      <c r="G37" s="117" t="s">
        <v>98</v>
      </c>
    </row>
    <row r="38" spans="1:7" ht="14.25" customHeight="1" x14ac:dyDescent="0.25">
      <c r="A38" s="113"/>
      <c r="B38" s="109"/>
      <c r="C38" s="308"/>
      <c r="D38" s="109"/>
      <c r="E38" s="138"/>
      <c r="F38" s="112"/>
      <c r="G38" s="113"/>
    </row>
    <row r="39" spans="1:7" ht="14.25" customHeight="1" x14ac:dyDescent="0.25">
      <c r="A39" s="117">
        <v>7</v>
      </c>
      <c r="B39" s="118" t="s">
        <v>120</v>
      </c>
      <c r="C39" s="153"/>
      <c r="D39" s="118"/>
      <c r="E39" s="122">
        <v>0.6</v>
      </c>
      <c r="F39" s="121">
        <v>65.992499999999993</v>
      </c>
      <c r="G39" s="117" t="s">
        <v>98</v>
      </c>
    </row>
    <row r="40" spans="1:7" ht="14.25" customHeight="1" x14ac:dyDescent="0.25">
      <c r="A40" s="113"/>
      <c r="B40" s="109"/>
      <c r="C40" s="308"/>
      <c r="D40" s="109"/>
      <c r="E40" s="138"/>
      <c r="F40" s="112"/>
      <c r="G40" s="113"/>
    </row>
    <row r="41" spans="1:7" ht="14.25" customHeight="1" x14ac:dyDescent="0.25">
      <c r="A41" s="117">
        <v>8</v>
      </c>
      <c r="B41" s="118" t="s">
        <v>121</v>
      </c>
      <c r="C41" s="153"/>
      <c r="D41" s="118"/>
      <c r="E41" s="139"/>
      <c r="F41" s="121">
        <v>580.28139866444224</v>
      </c>
      <c r="G41" s="117" t="s">
        <v>98</v>
      </c>
    </row>
    <row r="42" spans="1:7" ht="14.25" customHeight="1" x14ac:dyDescent="0.25">
      <c r="A42" s="117"/>
      <c r="B42" s="118"/>
      <c r="C42" s="153"/>
      <c r="D42" s="118"/>
      <c r="E42" s="139"/>
      <c r="F42" s="121"/>
      <c r="G42" s="117"/>
    </row>
    <row r="43" spans="1:7" ht="14.25" customHeight="1" x14ac:dyDescent="0.25">
      <c r="A43" s="117">
        <v>9</v>
      </c>
      <c r="B43" s="118" t="s">
        <v>122</v>
      </c>
      <c r="C43" s="153"/>
      <c r="D43" s="118"/>
      <c r="E43" s="139"/>
      <c r="F43" s="121"/>
      <c r="G43" s="117"/>
    </row>
    <row r="44" spans="1:7" ht="14.25" customHeight="1" x14ac:dyDescent="0.25">
      <c r="A44" s="113"/>
      <c r="B44" s="109" t="s">
        <v>123</v>
      </c>
      <c r="C44" s="308"/>
      <c r="D44" s="109"/>
      <c r="E44" s="138">
        <v>0.1</v>
      </c>
      <c r="F44" s="112">
        <v>58.028139866444228</v>
      </c>
      <c r="G44" s="113" t="s">
        <v>98</v>
      </c>
    </row>
    <row r="45" spans="1:7" ht="14.25" customHeight="1" x14ac:dyDescent="0.25">
      <c r="A45" s="113"/>
      <c r="B45" s="109" t="s">
        <v>124</v>
      </c>
      <c r="C45" s="308"/>
      <c r="D45" s="109"/>
      <c r="E45" s="138">
        <v>0.15</v>
      </c>
      <c r="F45" s="112">
        <v>87.042209799666338</v>
      </c>
      <c r="G45" s="113" t="s">
        <v>98</v>
      </c>
    </row>
    <row r="46" spans="1:7" ht="14.25" customHeight="1" x14ac:dyDescent="0.25">
      <c r="A46" s="113"/>
      <c r="B46" s="109"/>
      <c r="C46" s="308"/>
      <c r="D46" s="109"/>
      <c r="E46" s="138"/>
      <c r="F46" s="112"/>
      <c r="G46" s="113"/>
    </row>
    <row r="47" spans="1:7" ht="14.25" customHeight="1" x14ac:dyDescent="0.25">
      <c r="A47" s="117">
        <v>10</v>
      </c>
      <c r="B47" s="118" t="s">
        <v>125</v>
      </c>
      <c r="C47" s="153"/>
      <c r="D47" s="118"/>
      <c r="E47" s="139"/>
      <c r="F47" s="121"/>
      <c r="G47" s="117"/>
    </row>
    <row r="48" spans="1:7" ht="14.25" customHeight="1" x14ac:dyDescent="0.25">
      <c r="A48" s="113"/>
      <c r="B48" s="109" t="s">
        <v>123</v>
      </c>
      <c r="C48" s="308"/>
      <c r="D48" s="109"/>
      <c r="E48" s="138"/>
      <c r="F48" s="121">
        <v>638.30953853088647</v>
      </c>
      <c r="G48" s="117" t="s">
        <v>98</v>
      </c>
    </row>
    <row r="49" spans="1:7" ht="14.25" customHeight="1" x14ac:dyDescent="0.25">
      <c r="A49" s="113"/>
      <c r="B49" s="109" t="s">
        <v>124</v>
      </c>
      <c r="C49" s="308"/>
      <c r="D49" s="109"/>
      <c r="E49" s="138"/>
      <c r="F49" s="121">
        <v>667.32360846410859</v>
      </c>
      <c r="G49" s="117" t="s">
        <v>98</v>
      </c>
    </row>
    <row r="50" spans="1:7" ht="14.25" customHeight="1" x14ac:dyDescent="0.25">
      <c r="A50" s="104"/>
      <c r="B50" s="104"/>
      <c r="C50" s="152"/>
      <c r="D50" s="104"/>
      <c r="E50" s="104"/>
      <c r="F50" s="108"/>
      <c r="G50" s="163"/>
    </row>
    <row r="51" spans="1:7" ht="14.25" customHeight="1" x14ac:dyDescent="0.25">
      <c r="A51" s="104"/>
      <c r="B51" s="104"/>
      <c r="C51" s="152"/>
      <c r="D51" s="104"/>
      <c r="E51" s="104"/>
      <c r="F51" s="108"/>
      <c r="G51" s="104"/>
    </row>
    <row r="52" spans="1:7" ht="14.25" customHeight="1" x14ac:dyDescent="0.25">
      <c r="A52" s="31"/>
      <c r="B52" s="83" t="s">
        <v>55</v>
      </c>
      <c r="C52" s="83"/>
      <c r="D52" s="83"/>
      <c r="E52" s="31"/>
      <c r="F52" s="62" t="s">
        <v>57</v>
      </c>
      <c r="G52" s="31"/>
    </row>
    <row r="53" spans="1:7" ht="14.25" customHeight="1" x14ac:dyDescent="0.25">
      <c r="A53" s="31"/>
      <c r="B53" s="84" t="s">
        <v>56</v>
      </c>
      <c r="C53" s="83"/>
      <c r="D53" s="83"/>
      <c r="E53" s="31"/>
      <c r="F53" s="42"/>
      <c r="G53" s="31"/>
    </row>
  </sheetData>
  <mergeCells count="6">
    <mergeCell ref="C29:D29"/>
    <mergeCell ref="A6:G6"/>
    <mergeCell ref="A7:G7"/>
    <mergeCell ref="A8:A9"/>
    <mergeCell ref="B8:E9"/>
    <mergeCell ref="F8:G8"/>
  </mergeCells>
  <pageMargins left="0.25" right="0.25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37</vt:i4>
      </vt:variant>
    </vt:vector>
  </HeadingPairs>
  <TitlesOfParts>
    <vt:vector size="37" baseType="lpstr">
      <vt:lpstr>План. расчет времени</vt:lpstr>
      <vt:lpstr>Тарифы</vt:lpstr>
      <vt:lpstr>ГАЗ 3307 фургон</vt:lpstr>
      <vt:lpstr>Пробег ГАЗ 3307 фургон</vt:lpstr>
      <vt:lpstr>ГАЗ 430100</vt:lpstr>
      <vt:lpstr>Пробег ГАЗ 430100</vt:lpstr>
      <vt:lpstr>УАЗ</vt:lpstr>
      <vt:lpstr>Пробег УАЗ</vt:lpstr>
      <vt:lpstr>Нива</vt:lpstr>
      <vt:lpstr>Пробег Нива</vt:lpstr>
      <vt:lpstr>МАЗ-5551</vt:lpstr>
      <vt:lpstr>Пробег МАЗ</vt:lpstr>
      <vt:lpstr>УРАЛ-5557</vt:lpstr>
      <vt:lpstr>Пробег Урал</vt:lpstr>
      <vt:lpstr>ГАЗ-3307 АСМ</vt:lpstr>
      <vt:lpstr>Пробег 3307 АСМ</vt:lpstr>
      <vt:lpstr>ГАЗ 3309</vt:lpstr>
      <vt:lpstr>Пробег 3309</vt:lpstr>
      <vt:lpstr>КО-502Б-2</vt:lpstr>
      <vt:lpstr>КО-502 +слесари</vt:lpstr>
      <vt:lpstr>Пробег КО-502Б-2</vt:lpstr>
      <vt:lpstr>Снегоуборочная</vt:lpstr>
      <vt:lpstr>Полив дневной </vt:lpstr>
      <vt:lpstr>Полив ночной</vt:lpstr>
      <vt:lpstr>Пробег КО-829</vt:lpstr>
      <vt:lpstr>Плановый пробег</vt:lpstr>
      <vt:lpstr>ЭО 2626</vt:lpstr>
      <vt:lpstr>Пробег ЭО 2626</vt:lpstr>
      <vt:lpstr>МТЗ-80 с тележкой</vt:lpstr>
      <vt:lpstr>МТЗ-80 покос</vt:lpstr>
      <vt:lpstr>Пробег МТЗ-80</vt:lpstr>
      <vt:lpstr>Автогрейдер ДЗ-180</vt:lpstr>
      <vt:lpstr>Пробег ДЗ-180</vt:lpstr>
      <vt:lpstr>Т-25</vt:lpstr>
      <vt:lpstr>Пробег Т-25</vt:lpstr>
      <vt:lpstr>САГ</vt:lpstr>
      <vt:lpstr>Пробег САГ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эконом</dc:creator>
  <cp:lastModifiedBy>эконом</cp:lastModifiedBy>
  <cp:lastPrinted>2016-12-13T12:40:42Z</cp:lastPrinted>
  <dcterms:created xsi:type="dcterms:W3CDTF">2014-09-22T09:25:53Z</dcterms:created>
  <dcterms:modified xsi:type="dcterms:W3CDTF">2016-12-14T05:58:53Z</dcterms:modified>
</cp:coreProperties>
</file>